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<sst xmlns="http://schemas.openxmlformats.org/spreadsheetml/2006/main" count="1084" uniqueCount="396">
  <si>
    <t xml:space="preserve"> Исполнение бюджета муниципального образования города Струнино
 По  ведомственной структуре расходов  за 2022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</si>
  <si>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</si>
  <si>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</si>
  <si>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</si>
  <si>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</si>
  <si>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</si>
  <si>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</si>
  <si>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2022 год, тыс. руб.</t>
  </si>
  <si>
    <t>Решение СНД №15 от 26.04.2022</t>
  </si>
  <si>
    <t>изменения</t>
  </si>
  <si>
    <t>Решение СНД №30 от 26.07.2022</t>
  </si>
  <si>
    <t>Исполнено за 2022 год,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</si>
  <si>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</si>
  <si>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</si>
  <si>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</si>
  <si>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</si>
  <si>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</si>
  <si>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</si>
  <si>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</si>
  <si>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</si>
  <si>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</si>
  <si>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</si>
  <si>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</si>
  <si>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</si>
  <si>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</si>
  <si>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</si>
  <si>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</si>
  <si>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</si>
  <si>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</si>
  <si>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</si>
  <si>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</si>
  <si>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</si>
  <si>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</si>
  <si>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</si>
  <si>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</si>
  <si>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</si>
  <si>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</si>
  <si>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</si>
  <si>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</si>
  <si>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99 9 00 55491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</si>
  <si>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</si>
  <si>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</si>
  <si>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</si>
  <si>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</si>
  <si>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</si>
  <si>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</si>
  <si>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</si>
  <si>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</si>
  <si>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снять 20,0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</si>
  <si>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</si>
  <si>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</si>
  <si>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</si>
  <si>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</si>
  <si>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</si>
  <si>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</si>
  <si>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</si>
  <si>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минус 10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</si>
  <si>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</si>
  <si>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</si>
  <si>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</si>
  <si>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</si>
  <si>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плюс 78,3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</si>
  <si>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</si>
  <si>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</si>
  <si>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</si>
  <si>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</si>
  <si>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</si>
  <si>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</si>
  <si>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</si>
  <si>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</si>
  <si>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</si>
  <si>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>плюс 51,56337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</si>
  <si>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</si>
  <si>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</si>
  <si>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</si>
  <si>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</si>
  <si>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</si>
  <si>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</si>
  <si>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</si>
  <si>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</si>
  <si>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</si>
  <si>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нов. Ремонт отопления</t>
  </si>
  <si>
    <t>минус 41,00589; 7,279; 3,27848</t>
  </si>
  <si>
    <t xml:space="preserve">Расходы на уплату членских взносов (Иные бюджетные ассигнования)
</t>
  </si>
  <si>
    <t>99 9 00 29990</t>
  </si>
  <si>
    <t>снять 0,246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</si>
  <si>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</si>
  <si>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</si>
  <si>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</si>
  <si>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</si>
  <si>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</si>
  <si>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</si>
  <si>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</si>
  <si>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</si>
  <si>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</si>
  <si>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</si>
  <si>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</si>
  <si>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</si>
  <si>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</si>
  <si>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минус 68,3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</si>
  <si>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</si>
  <si>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</si>
  <si>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</si>
  <si>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</si>
  <si>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</si>
  <si>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</si>
  <si>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</si>
  <si>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</si>
  <si>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</si>
  <si>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</si>
  <si>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</si>
  <si>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снять 1,0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</si>
  <si>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</si>
  <si>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</si>
  <si>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</si>
  <si>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</si>
  <si>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</si>
  <si>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</si>
  <si>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</si>
  <si>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</si>
  <si>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</si>
  <si>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</si>
  <si>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</si>
  <si>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</si>
  <si>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</si>
  <si>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</si>
  <si>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</si>
  <si>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</si>
  <si>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</si>
  <si>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</si>
  <si>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</si>
  <si>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</si>
  <si>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</si>
  <si>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плюс 105,0; 77,67385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</si>
  <si>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</si>
  <si>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</si>
  <si>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</si>
  <si>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нов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</si>
  <si>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</si>
  <si>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</si>
  <si>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</si>
  <si>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</si>
  <si>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</si>
  <si>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минус 105, в опиловку; плюс 0,199 в знаки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</si>
  <si>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</si>
  <si>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</si>
  <si>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</si>
  <si>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</si>
  <si>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</si>
  <si>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</si>
  <si>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</si>
  <si>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</si>
  <si>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 xml:space="preserve">минус 0,199 в знаки; плюс в содерж. 77,67385 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</si>
  <si>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</si>
  <si>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</si>
  <si>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</si>
  <si>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</si>
  <si>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</si>
  <si>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</si>
  <si>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</si>
  <si>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</si>
  <si>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</si>
  <si>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</si>
  <si>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</si>
  <si>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</si>
  <si>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</si>
  <si>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</si>
  <si>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</si>
  <si>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минус 6,0; снять 8,36833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</si>
  <si>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</si>
  <si>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</si>
  <si>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</si>
  <si>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</si>
  <si>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плюс 6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</si>
  <si>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</si>
  <si>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</si>
  <si>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</si>
  <si>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</si>
  <si>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</si>
  <si>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</si>
  <si>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</si>
  <si>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</si>
  <si>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</si>
  <si>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</si>
  <si>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</si>
  <si>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</si>
  <si>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</si>
  <si>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</si>
  <si>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</si>
  <si>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</si>
  <si>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</si>
  <si>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</si>
  <si>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</si>
  <si>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Жилищно-коммунальное хозяйство</t>
  </si>
  <si>
    <t>05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</si>
  <si>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</si>
  <si>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</si>
  <si>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</si>
  <si>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</si>
  <si>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</si>
  <si>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</si>
  <si>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</si>
  <si>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</si>
  <si>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снять 3,0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</si>
  <si>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</si>
  <si>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400</t>
  </si>
  <si>
    <t>Нов 1250,9-    2 выкупа (реш.суда)</t>
  </si>
  <si>
    <t>плюс 68,00778, плюс 50659,22-из к.р.</t>
  </si>
  <si>
    <t>Мероприятия на обеспечение устойчивого сокращения непригодного для проживания жилищного фонда за счет средств местного бюджета   (Иные бюджетные ассигнования)</t>
  </si>
  <si>
    <t>нов. 76,2+47,503</t>
  </si>
  <si>
    <t>пени+исп.лист</t>
  </si>
  <si>
    <t>минус 68,00778</t>
  </si>
  <si>
    <t>снять 76248,11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</si>
  <si>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</si>
  <si>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</si>
  <si>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</si>
  <si>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</si>
  <si>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снять по увед.  3244,5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</si>
  <si>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</si>
  <si>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</si>
  <si>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снять по увед.  49,7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</si>
  <si>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</si>
  <si>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</si>
  <si>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снять под увед.  16,5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</si>
  <si>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</si>
  <si>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</si>
  <si>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</si>
  <si>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</si>
  <si>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</si>
  <si>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минус 50,65922 в переселение</t>
  </si>
  <si>
    <t>Коммунальное хозяйство</t>
  </si>
  <si>
    <t>Нов 3500,0</t>
  </si>
  <si>
    <t>в том числе приобретение мини-погрузчика за счет средств местного бюджета</t>
  </si>
  <si>
    <t>Основное мероприятие "Ремонт муниципального имущества"</t>
  </si>
  <si>
    <t xml:space="preserve">03 0 03 </t>
  </si>
  <si>
    <t>минус 111,724- экономия</t>
  </si>
  <si>
    <t>Капитальный ремонт 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</si>
  <si>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</si>
  <si>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Ремонт жилых и нежилых зданий, помещений  (Закупка товаров, работ и услуг для государственных (муниципальных) нужд)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</si>
  <si>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</si>
  <si>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</si>
  <si>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</si>
  <si>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</si>
  <si>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</si>
  <si>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</si>
  <si>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Основное мероприятие «Проведение мероприятий в области коммунального хозяйства»</t>
  </si>
  <si>
    <t>19 0 03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</si>
  <si>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</si>
  <si>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</si>
  <si>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</si>
  <si>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</si>
  <si>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</si>
  <si>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</si>
  <si>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</si>
  <si>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минус 53,476; 3,59213- экономия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</si>
  <si>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</si>
  <si>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</si>
  <si>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</si>
  <si>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</si>
  <si>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</si>
  <si>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</si>
  <si>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Расходы на  создание мест (площадок) для  накопления ТКО (Закупка товаров, работ и услуг для государственных (муниципальных) нужд)</t>
  </si>
  <si>
    <t>06 0 07 S2160</t>
  </si>
  <si>
    <t>Муниципальная программа «Модернизация объектов коммунальной инфраструктуры муниципального образования город Струнино»</t>
  </si>
  <si>
    <t>28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</si>
  <si>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 т.ч. в кризисном финансово-экономическом состоянии, ставящим под угрозу бесперебойное оказание коммунальных услуг»</t>
  </si>
  <si>
    <t>28 1 03</t>
  </si>
  <si>
    <t>Расходы на формирование уставных фондов муниципальных унитарных предприятий (Субсидии на софинансирование операционной деятельности и 
развития муниципальных предприятий (учреждений),
оказывающих услуги по теплоснабжению и (или) горячему 
водоснабжению и находящихся, в т.ч. в кризисном 
финансово-экономическом состоянии, ставящих 
под угрозу бесперебойное оказание коммунальных услуг 
 (Иные бюджетные ассигнования)</t>
  </si>
  <si>
    <t>28 1 03 S1580</t>
  </si>
  <si>
    <t>плюс 165,2 доля мб</t>
  </si>
  <si>
    <t>в том числе местный бюджет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</si>
  <si>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</si>
  <si>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</si>
  <si>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</si>
  <si>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</si>
  <si>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</si>
  <si>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</si>
  <si>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</si>
  <si>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нов +1000,0 ул.осв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</si>
  <si>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</si>
  <si>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</si>
  <si>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</si>
  <si>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</si>
  <si>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в том числе добровольные пожертвования на благоустройство кладбища</t>
  </si>
  <si>
    <t>в том числе добровольные пожертвования на реставрацию мемориала на городском кладбище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</si>
  <si>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</si>
  <si>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</si>
  <si>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</si>
  <si>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</si>
  <si>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плюс 189,58455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</si>
  <si>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</si>
  <si>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</si>
  <si>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</si>
  <si>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</si>
  <si>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</si>
  <si>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</si>
  <si>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</si>
  <si>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</si>
  <si>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</si>
  <si>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</si>
  <si>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минус 66,4 кр, плюс 22,31729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</si>
  <si>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</si>
  <si>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</si>
  <si>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</si>
  <si>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</si>
  <si>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</si>
  <si>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</si>
  <si>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</si>
  <si>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</si>
  <si>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</si>
  <si>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</si>
  <si>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500,0-перер</t>
  </si>
  <si>
    <t>минус экономия от мк 211,90184; плюс 66,4 (стройконтроль)</t>
  </si>
  <si>
    <t>в том числе добровольные пожертвования на благоустройство берега реки Горелый крест</t>
  </si>
  <si>
    <t>Оказание услуг по транспортировке тел умерших (Закупка товаров, работ и услуг для государственных (муниципальных) нужд)</t>
  </si>
  <si>
    <t>99 9 00 20600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</si>
  <si>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</si>
  <si>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</si>
  <si>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</si>
  <si>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</si>
  <si>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</si>
  <si>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</si>
  <si>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</si>
  <si>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</si>
  <si>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</si>
  <si>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</si>
  <si>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</si>
  <si>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</si>
  <si>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</si>
  <si>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</si>
  <si>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</si>
  <si>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</si>
  <si>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</si>
  <si>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</si>
  <si>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</si>
  <si>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</si>
  <si>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</si>
  <si>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15 0 03 L519F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</si>
  <si>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</si>
  <si>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</si>
  <si>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r>
      <rPr>
        <sz val="12"/>
        <color indexed="8"/>
        <rFont val="Times New Roman"/>
        <family val="1"/>
      </rPr>
      <t>Субсидии на комплектование книжных фондов муниципальных библиотек области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</si>
  <si>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15 0 03 75190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</si>
  <si>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</si>
  <si>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</si>
  <si>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</si>
  <si>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</si>
  <si>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</si>
  <si>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</si>
  <si>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</si>
  <si>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</si>
  <si>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</si>
  <si>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</si>
  <si>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</si>
  <si>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</si>
  <si>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</si>
  <si>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</si>
  <si>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</si>
  <si>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</si>
  <si>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</si>
  <si>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</si>
  <si>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</si>
  <si>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</si>
  <si>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</si>
  <si>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</si>
  <si>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</si>
  <si>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</si>
  <si>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</si>
  <si>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</si>
  <si>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</si>
  <si>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Нов -0,08855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</si>
  <si>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</si>
  <si>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</si>
  <si>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</si>
  <si>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</si>
  <si>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</si>
  <si>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</si>
  <si>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</si>
  <si>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</si>
  <si>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</si>
  <si>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</si>
  <si>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</si>
  <si>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</si>
  <si>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«Содержание объектов спортивной инфраструктуры»</t>
  </si>
  <si>
    <t xml:space="preserve">18 0 02 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</si>
  <si>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</si>
  <si>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18 0 02 72000</t>
  </si>
  <si>
    <t>Массовый спорт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</si>
  <si>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</si>
  <si>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</si>
  <si>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18 0 0 1 20180</t>
  </si>
  <si>
    <t>снять 21,6-экономия</t>
  </si>
  <si>
    <t>Основное мероприятие «Реконструкция стадиона МБУ «СДЮСОЦ» города Струнино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</si>
  <si>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</si>
  <si>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18 0 02 S1390</t>
  </si>
  <si>
    <t>ИТОГО расходов</t>
  </si>
  <si>
    <t xml:space="preserve">Приложение №3 
к решению Совета народных депутатов города Струнино                                                       
от                                     №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</si>
</sst>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00"/>
    <numFmt numFmtId="166" formatCode="0000000"/>
    <numFmt numFmtId="167" formatCode="000"/>
    <numFmt numFmtId="168" formatCode="0.0"/>
    <numFmt numFmtId="169" formatCode="0.000"/>
    <numFmt numFmtId="170" formatCode="0.000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3" applyNumberFormat="0" applyAlignment="0" applyProtection="0"/>
    <xf numFmtId="0" fontId="53" fillId="34" borderId="4" applyNumberFormat="0" applyAlignment="0" applyProtection="0"/>
    <xf numFmtId="0" fontId="54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5" borderId="9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5" fontId="15" fillId="4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40" borderId="0" xfId="0" applyFont="1" applyFill="1" applyAlignment="1">
      <alignment/>
    </xf>
    <xf numFmtId="0" fontId="0" fillId="40" borderId="0" xfId="0" applyFill="1" applyAlignment="1">
      <alignment/>
    </xf>
    <xf numFmtId="0" fontId="9" fillId="40" borderId="0" xfId="0" applyFont="1" applyFill="1" applyAlignment="1">
      <alignment vertical="center"/>
    </xf>
    <xf numFmtId="0" fontId="18" fillId="40" borderId="0" xfId="0" applyFont="1" applyFill="1" applyAlignment="1">
      <alignment vertical="center" wrapText="1"/>
    </xf>
    <xf numFmtId="0" fontId="19" fillId="40" borderId="0" xfId="0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165" fontId="0" fillId="40" borderId="0" xfId="0" applyNumberFormat="1" applyFill="1" applyBorder="1" applyAlignment="1">
      <alignment/>
    </xf>
    <xf numFmtId="0" fontId="20" fillId="40" borderId="0" xfId="0" applyFont="1" applyFill="1" applyAlignment="1">
      <alignment/>
    </xf>
    <xf numFmtId="0" fontId="21" fillId="40" borderId="0" xfId="0" applyFont="1" applyFill="1" applyAlignment="1">
      <alignment/>
    </xf>
    <xf numFmtId="164" fontId="21" fillId="40" borderId="0" xfId="0" applyNumberFormat="1" applyFont="1" applyFill="1" applyAlignment="1">
      <alignment/>
    </xf>
    <xf numFmtId="165" fontId="21" fillId="40" borderId="0" xfId="0" applyNumberFormat="1" applyFont="1" applyFill="1" applyBorder="1" applyAlignment="1">
      <alignment/>
    </xf>
    <xf numFmtId="164" fontId="21" fillId="40" borderId="2" xfId="0" applyNumberFormat="1" applyFont="1" applyFill="1" applyBorder="1" applyAlignment="1">
      <alignment horizontal="center" vertical="center" wrapText="1"/>
    </xf>
    <xf numFmtId="165" fontId="21" fillId="40" borderId="2" xfId="0" applyNumberFormat="1" applyFont="1" applyFill="1" applyBorder="1" applyAlignment="1">
      <alignment horizontal="center" vertical="center" wrapText="1"/>
    </xf>
    <xf numFmtId="164" fontId="21" fillId="40" borderId="12" xfId="0" applyNumberFormat="1" applyFont="1" applyFill="1" applyBorder="1" applyAlignment="1">
      <alignment horizontal="center" vertical="center" wrapText="1"/>
    </xf>
    <xf numFmtId="49" fontId="20" fillId="40" borderId="12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12" xfId="0" applyNumberFormat="1" applyFont="1" applyFill="1" applyBorder="1" applyAlignment="1">
      <alignment horizontal="left" vertical="center" wrapText="1"/>
    </xf>
    <xf numFmtId="2" fontId="21" fillId="4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center" vertical="center"/>
    </xf>
    <xf numFmtId="168" fontId="21" fillId="40" borderId="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0" fillId="40" borderId="2" xfId="0" applyNumberFormat="1" applyFont="1" applyFill="1" applyBorder="1" applyAlignment="1">
      <alignment horizontal="center" vertical="center" wrapText="1"/>
    </xf>
    <xf numFmtId="2" fontId="21" fillId="40" borderId="1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/>
    </xf>
    <xf numFmtId="169" fontId="21" fillId="40" borderId="2" xfId="0" applyNumberFormat="1" applyFont="1" applyFill="1" applyBorder="1" applyAlignment="1">
      <alignment horizontal="center" vertical="center" wrapText="1"/>
    </xf>
    <xf numFmtId="49" fontId="20" fillId="40" borderId="12" xfId="0" applyNumberFormat="1" applyFont="1" applyFill="1" applyBorder="1" applyAlignment="1">
      <alignment horizontal="left" vertical="center" wrapText="1"/>
    </xf>
    <xf numFmtId="169" fontId="21" fillId="40" borderId="12" xfId="0" applyNumberFormat="1" applyFont="1" applyFill="1" applyBorder="1" applyAlignment="1">
      <alignment horizontal="center" vertical="center" wrapText="1"/>
    </xf>
    <xf numFmtId="169" fontId="21" fillId="0" borderId="2" xfId="0" applyNumberFormat="1" applyFont="1" applyFill="1" applyBorder="1" applyAlignment="1">
      <alignment horizontal="center" vertical="center" wrapText="1"/>
    </xf>
    <xf numFmtId="2" fontId="16" fillId="40" borderId="2" xfId="0" applyNumberFormat="1" applyFont="1" applyFill="1" applyBorder="1" applyAlignment="1">
      <alignment horizontal="center" vertical="center"/>
    </xf>
    <xf numFmtId="0" fontId="24" fillId="40" borderId="2" xfId="0" applyFont="1" applyFill="1" applyBorder="1" applyAlignment="1">
      <alignment horizontal="left" vertical="top" wrapText="1"/>
    </xf>
    <xf numFmtId="49" fontId="16" fillId="40" borderId="2" xfId="0" applyNumberFormat="1" applyFont="1" applyFill="1" applyBorder="1" applyAlignment="1">
      <alignment horizontal="center" vertical="center" wrapText="1"/>
    </xf>
    <xf numFmtId="49" fontId="16" fillId="40" borderId="12" xfId="0" applyNumberFormat="1" applyFont="1" applyFill="1" applyBorder="1" applyAlignment="1">
      <alignment horizontal="left" vertical="center" wrapText="1"/>
    </xf>
    <xf numFmtId="2" fontId="24" fillId="40" borderId="2" xfId="0" applyNumberFormat="1" applyFont="1" applyFill="1" applyBorder="1" applyAlignment="1">
      <alignment horizontal="center" vertical="center" wrapText="1"/>
    </xf>
    <xf numFmtId="164" fontId="24" fillId="40" borderId="2" xfId="0" applyNumberFormat="1" applyFont="1" applyFill="1" applyBorder="1" applyAlignment="1">
      <alignment horizontal="center" vertical="center" wrapText="1"/>
    </xf>
    <xf numFmtId="165" fontId="24" fillId="40" borderId="2" xfId="0" applyNumberFormat="1" applyFont="1" applyFill="1" applyBorder="1" applyAlignment="1">
      <alignment horizontal="center" vertical="center" wrapText="1"/>
    </xf>
    <xf numFmtId="169" fontId="24" fillId="40" borderId="12" xfId="0" applyNumberFormat="1" applyFont="1" applyFill="1" applyBorder="1" applyAlignment="1">
      <alignment horizontal="center" vertical="center" wrapText="1"/>
    </xf>
    <xf numFmtId="164" fontId="24" fillId="40" borderId="12" xfId="0" applyNumberFormat="1" applyFont="1" applyFill="1" applyBorder="1" applyAlignment="1">
      <alignment horizontal="center" vertical="center" wrapText="1"/>
    </xf>
    <xf numFmtId="169" fontId="24" fillId="0" borderId="2" xfId="0" applyNumberFormat="1" applyFont="1" applyFill="1" applyBorder="1" applyAlignment="1">
      <alignment horizontal="center" vertical="center" wrapText="1"/>
    </xf>
    <xf numFmtId="169" fontId="24" fillId="40" borderId="2" xfId="0" applyNumberFormat="1" applyFont="1" applyFill="1" applyBorder="1" applyAlignment="1">
      <alignment horizontal="center" vertical="center" wrapText="1"/>
    </xf>
    <xf numFmtId="0" fontId="24" fillId="40" borderId="2" xfId="0" applyNumberFormat="1" applyFont="1" applyFill="1" applyBorder="1" applyAlignment="1">
      <alignment vertical="top" wrapText="1"/>
    </xf>
    <xf numFmtId="2" fontId="24" fillId="40" borderId="1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4" fillId="40" borderId="14" xfId="0" applyNumberFormat="1" applyFont="1" applyFill="1" applyBorder="1" applyAlignment="1">
      <alignment horizontal="left" vertical="top" wrapText="1"/>
    </xf>
    <xf numFmtId="0" fontId="21" fillId="40" borderId="2" xfId="0" applyFont="1" applyFill="1" applyBorder="1" applyAlignment="1">
      <alignment horizontal="left" vertical="top" wrapText="1"/>
    </xf>
    <xf numFmtId="0" fontId="16" fillId="40" borderId="2" xfId="0" applyFont="1" applyFill="1" applyBorder="1" applyAlignment="1">
      <alignment horizontal="left" vertical="top" wrapText="1"/>
    </xf>
    <xf numFmtId="170" fontId="24" fillId="40" borderId="12" xfId="0" applyNumberFormat="1" applyFont="1" applyFill="1" applyBorder="1" applyAlignment="1">
      <alignment horizontal="center" vertical="center" wrapText="1"/>
    </xf>
    <xf numFmtId="49" fontId="16" fillId="40" borderId="2" xfId="0" applyNumberFormat="1" applyFont="1" applyFill="1" applyBorder="1" applyAlignment="1">
      <alignment horizontal="left" vertical="top" wrapText="1"/>
    </xf>
    <xf numFmtId="49" fontId="16" fillId="40" borderId="2" xfId="0" applyNumberFormat="1" applyFont="1" applyFill="1" applyBorder="1" applyAlignment="1">
      <alignment horizontal="center" vertical="center"/>
    </xf>
    <xf numFmtId="49" fontId="16" fillId="40" borderId="12" xfId="0" applyNumberFormat="1" applyFont="1" applyFill="1" applyBorder="1" applyAlignment="1">
      <alignment horizontal="left" vertical="center"/>
    </xf>
    <xf numFmtId="2" fontId="24" fillId="40" borderId="2" xfId="0" applyNumberFormat="1" applyFont="1" applyFill="1" applyBorder="1" applyAlignment="1">
      <alignment horizontal="left" vertical="top" wrapText="1"/>
    </xf>
    <xf numFmtId="164" fontId="16" fillId="40" borderId="2" xfId="0" applyNumberFormat="1" applyFont="1" applyFill="1" applyBorder="1" applyAlignment="1">
      <alignment horizontal="center" vertical="center"/>
    </xf>
    <xf numFmtId="0" fontId="24" fillId="40" borderId="2" xfId="0" applyNumberFormat="1" applyFont="1" applyFill="1" applyBorder="1" applyAlignment="1">
      <alignment horizontal="left" vertical="top" wrapText="1"/>
    </xf>
    <xf numFmtId="49" fontId="24" fillId="40" borderId="2" xfId="0" applyNumberFormat="1" applyFont="1" applyFill="1" applyBorder="1" applyAlignment="1">
      <alignment horizontal="center" vertical="center" wrapText="1"/>
    </xf>
    <xf numFmtId="49" fontId="24" fillId="40" borderId="12" xfId="0" applyNumberFormat="1" applyFont="1" applyFill="1" applyBorder="1" applyAlignment="1">
      <alignment horizontal="left" vertical="center" wrapText="1"/>
    </xf>
    <xf numFmtId="165" fontId="24" fillId="40" borderId="12" xfId="0" applyNumberFormat="1" applyFont="1" applyFill="1" applyBorder="1" applyAlignment="1">
      <alignment horizontal="center" vertical="center" wrapText="1"/>
    </xf>
    <xf numFmtId="49" fontId="24" fillId="40" borderId="14" xfId="0" applyNumberFormat="1" applyFont="1" applyFill="1" applyBorder="1" applyAlignment="1">
      <alignment horizontal="center" vertical="center" wrapText="1"/>
    </xf>
    <xf numFmtId="49" fontId="24" fillId="40" borderId="15" xfId="0" applyNumberFormat="1" applyFont="1" applyFill="1" applyBorder="1" applyAlignment="1">
      <alignment horizontal="left" vertical="center" wrapText="1"/>
    </xf>
    <xf numFmtId="49" fontId="16" fillId="40" borderId="14" xfId="0" applyNumberFormat="1" applyFont="1" applyFill="1" applyBorder="1" applyAlignment="1">
      <alignment horizontal="center" vertical="center"/>
    </xf>
    <xf numFmtId="49" fontId="16" fillId="40" borderId="15" xfId="0" applyNumberFormat="1" applyFont="1" applyFill="1" applyBorder="1" applyAlignment="1">
      <alignment horizontal="left" vertical="center"/>
    </xf>
    <xf numFmtId="169" fontId="16" fillId="40" borderId="2" xfId="0" applyNumberFormat="1" applyFont="1" applyFill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/>
    </xf>
    <xf numFmtId="49" fontId="20" fillId="40" borderId="2" xfId="0" applyNumberFormat="1" applyFont="1" applyFill="1" applyBorder="1" applyAlignment="1">
      <alignment horizontal="center" vertical="center"/>
    </xf>
    <xf numFmtId="49" fontId="20" fillId="40" borderId="12" xfId="0" applyNumberFormat="1" applyFont="1" applyFill="1" applyBorder="1" applyAlignment="1">
      <alignment horizontal="left" vertical="center"/>
    </xf>
    <xf numFmtId="0" fontId="24" fillId="40" borderId="16" xfId="0" applyNumberFormat="1" applyFont="1" applyFill="1" applyBorder="1" applyAlignment="1">
      <alignment horizontal="left" vertical="top" wrapText="1"/>
    </xf>
    <xf numFmtId="49" fontId="16" fillId="40" borderId="16" xfId="0" applyNumberFormat="1" applyFont="1" applyFill="1" applyBorder="1" applyAlignment="1">
      <alignment horizontal="center" vertical="center"/>
    </xf>
    <xf numFmtId="49" fontId="16" fillId="40" borderId="17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23" fillId="0" borderId="2" xfId="0" applyFont="1" applyFill="1" applyBorder="1" applyAlignment="1">
      <alignment vertical="center"/>
    </xf>
    <xf numFmtId="0" fontId="24" fillId="40" borderId="2" xfId="101" applyFont="1" applyFill="1" applyBorder="1" applyAlignment="1">
      <alignment horizontal="left" vertical="top" wrapText="1"/>
      <protection/>
    </xf>
    <xf numFmtId="164" fontId="20" fillId="40" borderId="2" xfId="0" applyNumberFormat="1" applyFont="1" applyFill="1" applyBorder="1" applyAlignment="1">
      <alignment horizontal="center" vertical="center"/>
    </xf>
    <xf numFmtId="0" fontId="21" fillId="40" borderId="2" xfId="0" applyNumberFormat="1" applyFont="1" applyFill="1" applyBorder="1" applyAlignment="1">
      <alignment horizontal="left" vertical="top" wrapText="1"/>
    </xf>
    <xf numFmtId="49" fontId="21" fillId="40" borderId="14" xfId="0" applyNumberFormat="1" applyFont="1" applyFill="1" applyBorder="1" applyAlignment="1">
      <alignment horizontal="center" vertical="top" wrapText="1"/>
    </xf>
    <xf numFmtId="49" fontId="21" fillId="40" borderId="12" xfId="0" applyNumberFormat="1" applyFont="1" applyFill="1" applyBorder="1" applyAlignment="1">
      <alignment horizontal="left" vertical="top"/>
    </xf>
    <xf numFmtId="49" fontId="20" fillId="40" borderId="2" xfId="0" applyNumberFormat="1" applyFont="1" applyFill="1" applyBorder="1" applyAlignment="1">
      <alignment horizontal="center" vertical="top"/>
    </xf>
    <xf numFmtId="169" fontId="20" fillId="40" borderId="2" xfId="0" applyNumberFormat="1" applyFont="1" applyFill="1" applyBorder="1" applyAlignment="1">
      <alignment horizontal="center" vertical="center"/>
    </xf>
    <xf numFmtId="49" fontId="24" fillId="40" borderId="14" xfId="0" applyNumberFormat="1" applyFont="1" applyFill="1" applyBorder="1" applyAlignment="1">
      <alignment horizontal="center" vertical="top" wrapText="1"/>
    </xf>
    <xf numFmtId="49" fontId="24" fillId="40" borderId="12" xfId="0" applyNumberFormat="1" applyFont="1" applyFill="1" applyBorder="1" applyAlignment="1">
      <alignment horizontal="left" vertical="top"/>
    </xf>
    <xf numFmtId="49" fontId="16" fillId="40" borderId="2" xfId="0" applyNumberFormat="1" applyFont="1" applyFill="1" applyBorder="1" applyAlignment="1">
      <alignment horizontal="center" vertical="top"/>
    </xf>
    <xf numFmtId="49" fontId="16" fillId="40" borderId="12" xfId="102" applyNumberFormat="1" applyFont="1" applyFill="1" applyBorder="1" applyAlignment="1">
      <alignment horizontal="left" vertical="center"/>
      <protection/>
    </xf>
    <xf numFmtId="49" fontId="24" fillId="40" borderId="12" xfId="0" applyNumberFormat="1" applyFont="1" applyFill="1" applyBorder="1" applyAlignment="1">
      <alignment horizontal="left" vertical="center"/>
    </xf>
    <xf numFmtId="49" fontId="24" fillId="40" borderId="2" xfId="0" applyNumberFormat="1" applyFont="1" applyFill="1" applyBorder="1" applyAlignment="1">
      <alignment horizontal="center" vertical="center"/>
    </xf>
    <xf numFmtId="49" fontId="21" fillId="40" borderId="2" xfId="0" applyNumberFormat="1" applyFont="1" applyFill="1" applyBorder="1" applyAlignment="1">
      <alignment horizontal="left" vertical="top" wrapText="1"/>
    </xf>
    <xf numFmtId="49" fontId="21" fillId="40" borderId="2" xfId="0" applyNumberFormat="1" applyFont="1" applyFill="1" applyBorder="1" applyAlignment="1">
      <alignment horizontal="center" vertical="center" wrapText="1"/>
    </xf>
    <xf numFmtId="49" fontId="21" fillId="40" borderId="12" xfId="0" applyNumberFormat="1" applyFont="1" applyFill="1" applyBorder="1" applyAlignment="1">
      <alignment horizontal="left" vertical="center" wrapText="1"/>
    </xf>
    <xf numFmtId="49" fontId="24" fillId="40" borderId="2" xfId="0" applyNumberFormat="1" applyFont="1" applyFill="1" applyBorder="1" applyAlignment="1">
      <alignment horizontal="left" vertical="top" wrapText="1"/>
    </xf>
    <xf numFmtId="0" fontId="25" fillId="40" borderId="2" xfId="0" applyFont="1" applyFill="1" applyBorder="1" applyAlignment="1">
      <alignment horizontal="left" vertical="top"/>
    </xf>
    <xf numFmtId="164" fontId="24" fillId="0" borderId="2" xfId="0" applyNumberFormat="1" applyFont="1" applyFill="1" applyBorder="1" applyAlignment="1">
      <alignment horizontal="center" vertical="center" wrapText="1"/>
    </xf>
    <xf numFmtId="49" fontId="16" fillId="40" borderId="18" xfId="0" applyNumberFormat="1" applyFont="1" applyFill="1" applyBorder="1" applyAlignment="1">
      <alignment horizontal="center" vertical="center"/>
    </xf>
    <xf numFmtId="0" fontId="26" fillId="40" borderId="2" xfId="0" applyFont="1" applyFill="1" applyBorder="1" applyAlignment="1">
      <alignment vertical="top" wrapText="1"/>
    </xf>
    <xf numFmtId="0" fontId="16" fillId="40" borderId="2" xfId="0" applyFont="1" applyFill="1" applyBorder="1" applyAlignment="1">
      <alignment vertical="top" wrapText="1"/>
    </xf>
    <xf numFmtId="49" fontId="16" fillId="40" borderId="19" xfId="0" applyNumberFormat="1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horizontal="left" vertical="top" wrapText="1"/>
    </xf>
    <xf numFmtId="49" fontId="16" fillId="40" borderId="2" xfId="0" applyNumberFormat="1" applyFont="1" applyFill="1" applyBorder="1" applyAlignment="1">
      <alignment horizontal="left" vertical="center"/>
    </xf>
    <xf numFmtId="2" fontId="24" fillId="40" borderId="18" xfId="0" applyNumberFormat="1" applyFont="1" applyFill="1" applyBorder="1" applyAlignment="1">
      <alignment horizontal="center" vertical="center" wrapText="1"/>
    </xf>
    <xf numFmtId="49" fontId="24" fillId="40" borderId="2" xfId="0" applyNumberFormat="1" applyFont="1" applyFill="1" applyBorder="1" applyAlignment="1">
      <alignment horizontal="left" vertical="center"/>
    </xf>
    <xf numFmtId="49" fontId="16" fillId="40" borderId="20" xfId="0" applyNumberFormat="1" applyFont="1" applyFill="1" applyBorder="1" applyAlignment="1">
      <alignment horizontal="center" vertical="center"/>
    </xf>
    <xf numFmtId="0" fontId="26" fillId="40" borderId="2" xfId="0" applyFont="1" applyFill="1" applyBorder="1" applyAlignment="1">
      <alignment horizontal="left" vertical="top" wrapText="1"/>
    </xf>
    <xf numFmtId="49" fontId="26" fillId="40" borderId="2" xfId="0" applyNumberFormat="1" applyFont="1" applyFill="1" applyBorder="1" applyAlignment="1">
      <alignment horizontal="center" vertical="center"/>
    </xf>
    <xf numFmtId="49" fontId="27" fillId="40" borderId="2" xfId="0" applyNumberFormat="1" applyFont="1" applyFill="1" applyBorder="1" applyAlignment="1">
      <alignment horizontal="left" vertical="center"/>
    </xf>
    <xf numFmtId="49" fontId="26" fillId="40" borderId="20" xfId="0" applyNumberFormat="1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left" vertical="top" wrapText="1"/>
    </xf>
    <xf numFmtId="49" fontId="16" fillId="40" borderId="21" xfId="0" applyNumberFormat="1" applyFont="1" applyFill="1" applyBorder="1" applyAlignment="1">
      <alignment horizontal="center" vertical="center"/>
    </xf>
    <xf numFmtId="49" fontId="24" fillId="40" borderId="14" xfId="0" applyNumberFormat="1" applyFont="1" applyFill="1" applyBorder="1" applyAlignment="1">
      <alignment horizontal="center" vertical="center"/>
    </xf>
    <xf numFmtId="49" fontId="21" fillId="40" borderId="18" xfId="0" applyNumberFormat="1" applyFont="1" applyFill="1" applyBorder="1" applyAlignment="1">
      <alignment horizontal="center" vertical="center"/>
    </xf>
    <xf numFmtId="49" fontId="21" fillId="40" borderId="2" xfId="0" applyNumberFormat="1" applyFont="1" applyFill="1" applyBorder="1" applyAlignment="1">
      <alignment horizontal="center" vertical="center"/>
    </xf>
    <xf numFmtId="49" fontId="21" fillId="40" borderId="12" xfId="0" applyNumberFormat="1" applyFont="1" applyFill="1" applyBorder="1" applyAlignment="1">
      <alignment horizontal="left" vertical="center"/>
    </xf>
    <xf numFmtId="49" fontId="24" fillId="40" borderId="19" xfId="0" applyNumberFormat="1" applyFont="1" applyFill="1" applyBorder="1" applyAlignment="1">
      <alignment horizontal="center" vertical="center"/>
    </xf>
    <xf numFmtId="49" fontId="24" fillId="40" borderId="15" xfId="0" applyNumberFormat="1" applyFont="1" applyFill="1" applyBorder="1" applyAlignment="1">
      <alignment horizontal="left" vertical="center"/>
    </xf>
    <xf numFmtId="0" fontId="20" fillId="40" borderId="16" xfId="0" applyFont="1" applyFill="1" applyBorder="1" applyAlignment="1">
      <alignment horizontal="left" vertical="top" wrapText="1"/>
    </xf>
    <xf numFmtId="170" fontId="21" fillId="40" borderId="12" xfId="0" applyNumberFormat="1" applyFont="1" applyFill="1" applyBorder="1" applyAlignment="1">
      <alignment horizontal="center" vertical="center" wrapText="1"/>
    </xf>
    <xf numFmtId="0" fontId="16" fillId="40" borderId="2" xfId="0" applyFont="1" applyFill="1" applyBorder="1" applyAlignment="1">
      <alignment vertical="center" wrapText="1"/>
    </xf>
    <xf numFmtId="170" fontId="24" fillId="0" borderId="2" xfId="0" applyNumberFormat="1" applyFont="1" applyFill="1" applyBorder="1" applyAlignment="1">
      <alignment horizontal="center" vertical="center" wrapText="1"/>
    </xf>
    <xf numFmtId="170" fontId="24" fillId="40" borderId="2" xfId="0" applyNumberFormat="1" applyFont="1" applyFill="1" applyBorder="1" applyAlignment="1">
      <alignment horizontal="center" vertical="center" wrapText="1"/>
    </xf>
    <xf numFmtId="49" fontId="24" fillId="40" borderId="12" xfId="0" applyNumberFormat="1" applyFont="1" applyFill="1" applyBorder="1" applyAlignment="1">
      <alignment horizontal="center" vertical="center"/>
    </xf>
    <xf numFmtId="0" fontId="21" fillId="40" borderId="16" xfId="0" applyNumberFormat="1" applyFont="1" applyFill="1" applyBorder="1" applyAlignment="1">
      <alignment horizontal="left" vertical="top" wrapText="1"/>
    </xf>
    <xf numFmtId="49" fontId="20" fillId="40" borderId="16" xfId="0" applyNumberFormat="1" applyFont="1" applyFill="1" applyBorder="1" applyAlignment="1">
      <alignment horizontal="center" vertical="center"/>
    </xf>
    <xf numFmtId="49" fontId="21" fillId="40" borderId="17" xfId="0" applyNumberFormat="1" applyFont="1" applyFill="1" applyBorder="1" applyAlignment="1">
      <alignment horizontal="left" vertical="center"/>
    </xf>
    <xf numFmtId="49" fontId="26" fillId="40" borderId="12" xfId="0" applyNumberFormat="1" applyFont="1" applyFill="1" applyBorder="1" applyAlignment="1">
      <alignment horizontal="left" vertical="center"/>
    </xf>
    <xf numFmtId="2" fontId="27" fillId="40" borderId="2" xfId="0" applyNumberFormat="1" applyFont="1" applyFill="1" applyBorder="1" applyAlignment="1">
      <alignment horizontal="center" vertical="center" wrapText="1"/>
    </xf>
    <xf numFmtId="164" fontId="27" fillId="40" borderId="2" xfId="0" applyNumberFormat="1" applyFont="1" applyFill="1" applyBorder="1" applyAlignment="1">
      <alignment horizontal="center" vertical="center" wrapText="1"/>
    </xf>
    <xf numFmtId="165" fontId="27" fillId="40" borderId="2" xfId="0" applyNumberFormat="1" applyFont="1" applyFill="1" applyBorder="1" applyAlignment="1">
      <alignment horizontal="center" vertical="center" wrapText="1"/>
    </xf>
    <xf numFmtId="2" fontId="27" fillId="40" borderId="1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0" fontId="21" fillId="40" borderId="2" xfId="0" applyNumberFormat="1" applyFont="1" applyFill="1" applyBorder="1" applyAlignment="1">
      <alignment horizontal="left" vertical="top" wrapText="1"/>
    </xf>
    <xf numFmtId="165" fontId="21" fillId="40" borderId="1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center"/>
    </xf>
    <xf numFmtId="2" fontId="20" fillId="4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left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left" vertical="center"/>
    </xf>
    <xf numFmtId="2" fontId="24" fillId="40" borderId="14" xfId="0" applyNumberFormat="1" applyFont="1" applyFill="1" applyBorder="1" applyAlignment="1">
      <alignment horizontal="center" vertical="center" wrapText="1"/>
    </xf>
    <xf numFmtId="164" fontId="24" fillId="40" borderId="14" xfId="0" applyNumberFormat="1" applyFont="1" applyFill="1" applyBorder="1" applyAlignment="1">
      <alignment horizontal="center" vertical="center" wrapText="1"/>
    </xf>
    <xf numFmtId="165" fontId="24" fillId="40" borderId="14" xfId="0" applyNumberFormat="1" applyFont="1" applyFill="1" applyBorder="1" applyAlignment="1">
      <alignment horizontal="center" vertical="center" wrapText="1"/>
    </xf>
    <xf numFmtId="2" fontId="24" fillId="40" borderId="15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16" fillId="4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2" fontId="21" fillId="40" borderId="14" xfId="0" applyNumberFormat="1" applyFont="1" applyFill="1" applyBorder="1" applyAlignment="1">
      <alignment horizontal="center" vertical="center" wrapText="1"/>
    </xf>
    <xf numFmtId="168" fontId="21" fillId="40" borderId="14" xfId="0" applyNumberFormat="1" applyFont="1" applyFill="1" applyBorder="1" applyAlignment="1">
      <alignment horizontal="center" vertical="center" wrapText="1"/>
    </xf>
    <xf numFmtId="0" fontId="27" fillId="40" borderId="2" xfId="0" applyFont="1" applyFill="1" applyBorder="1" applyAlignment="1">
      <alignment horizontal="left" vertical="top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left" vertical="center"/>
    </xf>
    <xf numFmtId="0" fontId="28" fillId="40" borderId="2" xfId="0" applyFont="1" applyFill="1" applyBorder="1" applyAlignment="1">
      <alignment/>
    </xf>
    <xf numFmtId="0" fontId="28" fillId="0" borderId="2" xfId="0" applyFont="1" applyBorder="1" applyAlignment="1">
      <alignment/>
    </xf>
    <xf numFmtId="2" fontId="26" fillId="4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2" fontId="30" fillId="40" borderId="2" xfId="0" applyNumberFormat="1" applyFont="1" applyFill="1" applyBorder="1" applyAlignment="1">
      <alignment horizontal="center" vertical="center" wrapText="1"/>
    </xf>
    <xf numFmtId="168" fontId="30" fillId="40" borderId="2" xfId="0" applyNumberFormat="1" applyFont="1" applyFill="1" applyBorder="1" applyAlignment="1">
      <alignment horizontal="center" vertical="center" wrapText="1"/>
    </xf>
    <xf numFmtId="49" fontId="20" fillId="40" borderId="17" xfId="0" applyNumberFormat="1" applyFont="1" applyFill="1" applyBorder="1" applyAlignment="1">
      <alignment horizontal="left" vertical="center"/>
    </xf>
    <xf numFmtId="2" fontId="21" fillId="40" borderId="16" xfId="0" applyNumberFormat="1" applyFont="1" applyFill="1" applyBorder="1" applyAlignment="1">
      <alignment horizontal="center" vertical="center" wrapText="1"/>
    </xf>
    <xf numFmtId="164" fontId="21" fillId="40" borderId="16" xfId="0" applyNumberFormat="1" applyFont="1" applyFill="1" applyBorder="1" applyAlignment="1">
      <alignment horizontal="center" vertical="center" wrapText="1"/>
    </xf>
    <xf numFmtId="165" fontId="21" fillId="40" borderId="16" xfId="0" applyNumberFormat="1" applyFont="1" applyFill="1" applyBorder="1" applyAlignment="1">
      <alignment horizontal="center" vertical="center" wrapText="1"/>
    </xf>
    <xf numFmtId="164" fontId="21" fillId="40" borderId="17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2" fontId="20" fillId="40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68" fontId="21" fillId="40" borderId="16" xfId="0" applyNumberFormat="1" applyFont="1" applyFill="1" applyBorder="1" applyAlignment="1">
      <alignment horizontal="center" vertical="center" wrapText="1"/>
    </xf>
    <xf numFmtId="164" fontId="27" fillId="40" borderId="12" xfId="0" applyNumberFormat="1" applyFont="1" applyFill="1" applyBorder="1" applyAlignment="1">
      <alignment horizontal="center" vertical="center" wrapText="1"/>
    </xf>
    <xf numFmtId="0" fontId="24" fillId="40" borderId="2" xfId="0" applyFont="1" applyFill="1" applyBorder="1" applyAlignment="1">
      <alignment vertical="top" wrapText="1"/>
    </xf>
    <xf numFmtId="0" fontId="26" fillId="40" borderId="22" xfId="0" applyFont="1" applyFill="1" applyBorder="1" applyAlignment="1">
      <alignment vertical="top" wrapText="1"/>
    </xf>
    <xf numFmtId="0" fontId="20" fillId="40" borderId="2" xfId="0" applyFont="1" applyFill="1" applyBorder="1" applyAlignment="1">
      <alignment horizontal="left" vertical="center" wrapText="1"/>
    </xf>
    <xf numFmtId="0" fontId="20" fillId="40" borderId="14" xfId="0" applyFont="1" applyFill="1" applyBorder="1" applyAlignment="1">
      <alignment horizontal="left" vertical="top" wrapText="1"/>
    </xf>
    <xf numFmtId="49" fontId="20" fillId="40" borderId="18" xfId="0" applyNumberFormat="1" applyFont="1" applyFill="1" applyBorder="1" applyAlignment="1">
      <alignment horizontal="center" vertical="center"/>
    </xf>
    <xf numFmtId="0" fontId="16" fillId="40" borderId="14" xfId="0" applyFont="1" applyFill="1" applyBorder="1" applyAlignment="1">
      <alignment horizontal="left" vertical="top" wrapText="1"/>
    </xf>
    <xf numFmtId="0" fontId="24" fillId="40" borderId="14" xfId="0" applyNumberFormat="1" applyFont="1" applyFill="1" applyBorder="1" applyAlignment="1">
      <alignment vertical="top" wrapText="1"/>
    </xf>
    <xf numFmtId="0" fontId="24" fillId="40" borderId="2" xfId="0" applyFont="1" applyFill="1" applyBorder="1" applyAlignment="1">
      <alignment vertical="top" wrapText="1"/>
    </xf>
    <xf numFmtId="0" fontId="26" fillId="40" borderId="2" xfId="0" applyFont="1" applyFill="1" applyBorder="1" applyAlignment="1">
      <alignment wrapText="1"/>
    </xf>
    <xf numFmtId="0" fontId="16" fillId="40" borderId="2" xfId="0" applyFont="1" applyFill="1" applyBorder="1" applyAlignment="1">
      <alignment vertical="top" wrapText="1"/>
    </xf>
    <xf numFmtId="0" fontId="26" fillId="40" borderId="16" xfId="0" applyFont="1" applyFill="1" applyBorder="1" applyAlignment="1">
      <alignment wrapText="1"/>
    </xf>
    <xf numFmtId="49" fontId="24" fillId="40" borderId="17" xfId="0" applyNumberFormat="1" applyFont="1" applyFill="1" applyBorder="1" applyAlignment="1">
      <alignment horizontal="left" vertical="center"/>
    </xf>
    <xf numFmtId="0" fontId="26" fillId="40" borderId="23" xfId="0" applyFont="1" applyFill="1" applyBorder="1" applyAlignment="1">
      <alignment vertical="top" wrapText="1"/>
    </xf>
    <xf numFmtId="49" fontId="20" fillId="40" borderId="24" xfId="0" applyNumberFormat="1" applyFont="1" applyFill="1" applyBorder="1" applyAlignment="1" applyProtection="1">
      <alignment horizontal="left" vertical="top" wrapText="1"/>
      <protection/>
    </xf>
    <xf numFmtId="0" fontId="16" fillId="40" borderId="2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31" fillId="40" borderId="2" xfId="0" applyFont="1" applyFill="1" applyBorder="1" applyAlignment="1">
      <alignment/>
    </xf>
    <xf numFmtId="0" fontId="31" fillId="40" borderId="12" xfId="0" applyFont="1" applyFill="1" applyBorder="1" applyAlignment="1">
      <alignment/>
    </xf>
    <xf numFmtId="2" fontId="32" fillId="40" borderId="2" xfId="0" applyNumberFormat="1" applyFont="1" applyFill="1" applyBorder="1" applyAlignment="1">
      <alignment horizontal="center"/>
    </xf>
    <xf numFmtId="164" fontId="32" fillId="40" borderId="2" xfId="0" applyNumberFormat="1" applyFont="1" applyFill="1" applyBorder="1" applyAlignment="1">
      <alignment horizontal="center"/>
    </xf>
    <xf numFmtId="165" fontId="32" fillId="40" borderId="2" xfId="0" applyNumberFormat="1" applyFont="1" applyFill="1" applyBorder="1" applyAlignment="1">
      <alignment horizontal="center"/>
    </xf>
    <xf numFmtId="164" fontId="32" fillId="40" borderId="1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0" fontId="21" fillId="4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wrapText="1"/>
    </xf>
    <xf numFmtId="0" fontId="17" fillId="4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0" fillId="40" borderId="2" xfId="0" applyFont="1" applyFill="1" applyBorder="1" applyAlignment="1">
      <alignment horizontal="center" vertical="center" wrapText="1"/>
    </xf>
    <xf numFmtId="49" fontId="22" fillId="40" borderId="2" xfId="0" applyNumberFormat="1" applyFont="1" applyFill="1" applyBorder="1" applyAlignment="1">
      <alignment horizontal="center" vertical="center" wrapText="1"/>
    </xf>
    <xf numFmtId="166" fontId="22" fillId="40" borderId="12" xfId="0" applyNumberFormat="1" applyFont="1" applyFill="1" applyBorder="1" applyAlignment="1">
      <alignment horizontal="center" vertical="center" wrapText="1"/>
    </xf>
    <xf numFmtId="167" fontId="22" fillId="40" borderId="2" xfId="0" applyNumberFormat="1" applyFont="1" applyFill="1" applyBorder="1" applyAlignment="1">
      <alignment horizontal="center" vertical="center" wrapText="1"/>
    </xf>
    <xf numFmtId="0" fontId="16" fillId="40" borderId="2" xfId="0" applyFont="1" applyFill="1" applyBorder="1" applyAlignment="1">
      <alignment horizontal="center" vertical="center"/>
    </xf>
    <xf numFmtId="0" fontId="21" fillId="40" borderId="2" xfId="0" applyNumberFormat="1" applyFont="1" applyFill="1" applyBorder="1" applyAlignment="1">
      <alignment horizontal="center" vertical="center" wrapText="1"/>
    </xf>
    <xf numFmtId="164" fontId="21" fillId="40" borderId="2" xfId="0" applyNumberFormat="1" applyFont="1" applyFill="1" applyBorder="1" applyAlignment="1">
      <alignment horizontal="center" vertical="center" wrapText="1"/>
    </xf>
    <xf numFmtId="165" fontId="21" fillId="40" borderId="2" xfId="0" applyNumberFormat="1" applyFont="1" applyFill="1" applyBorder="1" applyAlignment="1">
      <alignment horizontal="center" vertical="center" wrapText="1"/>
    </xf>
    <xf numFmtId="164" fontId="21" fillId="4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375"/>
  <sheetViews>
    <sheetView tabSelected="1" zoomScale="140" zoomScaleNormal="140" zoomScalePageLayoutView="0" workbookViewId="0" topLeftCell="A3">
      <selection activeCell="AH12" sqref="AH12"/>
    </sheetView>
  </sheetViews>
  <sheetFormatPr defaultColWidth="8.140625" defaultRowHeight="15"/>
  <cols>
    <col min="1" max="1" width="6.57421875" style="0" customWidth="1"/>
    <col min="2" max="2" width="38.7109375" style="0" customWidth="1"/>
    <col min="3" max="3" width="6.7109375" style="0" customWidth="1"/>
    <col min="4" max="4" width="9.7109375" style="0" customWidth="1"/>
    <col min="5" max="5" width="16.421875" style="0" customWidth="1"/>
    <col min="6" max="6" width="9.00390625" style="0" customWidth="1"/>
    <col min="7" max="7" width="12.00390625" style="1" hidden="1" customWidth="1"/>
    <col min="8" max="8" width="16.140625" style="2" hidden="1" customWidth="1"/>
    <col min="9" max="9" width="16.140625" style="3" hidden="1" customWidth="1"/>
    <col min="10" max="10" width="16.140625" style="2" hidden="1" customWidth="1"/>
    <col min="11" max="11" width="16.140625" style="3" hidden="1" customWidth="1"/>
    <col min="12" max="12" width="16.421875" style="0" hidden="1" customWidth="1"/>
    <col min="13" max="13" width="18.8515625" style="4" hidden="1" customWidth="1"/>
    <col min="14" max="19" width="8.140625" style="0" hidden="1" customWidth="1"/>
    <col min="20" max="20" width="15.8515625" style="5" hidden="1" customWidth="1"/>
    <col min="21" max="21" width="17.7109375" style="6" hidden="1" customWidth="1"/>
    <col min="22" max="27" width="8.140625" style="0" hidden="1" customWidth="1"/>
    <col min="28" max="28" width="3.28125" style="0" hidden="1" customWidth="1"/>
    <col min="29" max="29" width="11.421875" style="0" hidden="1" customWidth="1"/>
    <col min="30" max="30" width="16.00390625" style="0" hidden="1" customWidth="1"/>
    <col min="31" max="31" width="16.00390625" style="0" customWidth="1"/>
  </cols>
  <sheetData>
    <row r="1" ht="3" customHeight="1" hidden="1"/>
    <row r="2" ht="15" customHeight="1" hidden="1"/>
    <row r="3" spans="2:16" ht="11.25" customHeight="1">
      <c r="B3" s="6"/>
      <c r="C3" s="6"/>
      <c r="D3" s="6"/>
      <c r="E3" s="198" t="s">
        <v>395</v>
      </c>
      <c r="F3" s="198"/>
      <c r="G3" s="198"/>
      <c r="H3" s="198"/>
      <c r="I3" s="198"/>
      <c r="J3" s="198"/>
      <c r="K3" s="198"/>
      <c r="L3" s="198"/>
      <c r="M3" s="198"/>
      <c r="N3" s="6"/>
      <c r="O3" s="6"/>
      <c r="P3" s="6"/>
    </row>
    <row r="4" spans="2:16" ht="46.5" customHeight="1">
      <c r="B4" s="6"/>
      <c r="C4" s="6"/>
      <c r="D4" s="6"/>
      <c r="E4" s="198"/>
      <c r="F4" s="198"/>
      <c r="G4" s="198"/>
      <c r="H4" s="198"/>
      <c r="I4" s="198"/>
      <c r="J4" s="198"/>
      <c r="K4" s="198"/>
      <c r="L4" s="198"/>
      <c r="M4" s="198"/>
      <c r="N4" s="6"/>
      <c r="O4" s="6"/>
      <c r="P4" s="6"/>
    </row>
    <row r="5" spans="2:16" ht="24.75" customHeight="1" hidden="1">
      <c r="B5" s="7"/>
      <c r="C5" s="6"/>
      <c r="D5" s="6"/>
      <c r="E5" s="199"/>
      <c r="F5" s="199"/>
      <c r="G5" s="199"/>
      <c r="H5" s="199"/>
      <c r="I5" s="199"/>
      <c r="J5" s="199"/>
      <c r="K5" s="199"/>
      <c r="L5" s="199"/>
      <c r="M5" s="199"/>
      <c r="N5" s="6"/>
      <c r="O5" s="6"/>
      <c r="P5" s="6"/>
    </row>
    <row r="6" spans="2:16" ht="21.75" customHeight="1">
      <c r="B6" s="8"/>
      <c r="C6" s="8"/>
      <c r="D6" s="8"/>
      <c r="E6" s="199"/>
      <c r="F6" s="199"/>
      <c r="G6" s="199"/>
      <c r="H6" s="199"/>
      <c r="I6" s="199"/>
      <c r="J6" s="199"/>
      <c r="K6" s="199"/>
      <c r="L6" s="199"/>
      <c r="M6" s="199"/>
      <c r="N6" s="6"/>
      <c r="O6" s="6"/>
      <c r="P6" s="6"/>
    </row>
    <row r="7" spans="2:16" ht="13.5" customHeight="1" hidden="1">
      <c r="B7" s="8"/>
      <c r="C7" s="8"/>
      <c r="D7" s="8"/>
      <c r="E7" s="9"/>
      <c r="F7" s="9"/>
      <c r="G7" s="9"/>
      <c r="H7" s="10"/>
      <c r="I7" s="11"/>
      <c r="J7" s="10"/>
      <c r="K7" s="11"/>
      <c r="L7" s="6"/>
      <c r="N7" s="6"/>
      <c r="O7" s="6"/>
      <c r="P7" s="6"/>
    </row>
    <row r="8" spans="2:16" ht="3" customHeight="1" hidden="1">
      <c r="B8" s="8"/>
      <c r="C8" s="8"/>
      <c r="D8" s="8"/>
      <c r="E8" s="9"/>
      <c r="F8" s="9"/>
      <c r="G8" s="9"/>
      <c r="H8" s="10"/>
      <c r="I8" s="11"/>
      <c r="J8" s="10"/>
      <c r="K8" s="11"/>
      <c r="L8" s="6"/>
      <c r="N8" s="6"/>
      <c r="O8" s="6"/>
      <c r="P8" s="6"/>
    </row>
    <row r="9" spans="1:31" ht="4.5" customHeight="1" hidden="1">
      <c r="A9" s="200" t="s">
        <v>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</row>
    <row r="10" spans="1:31" ht="57.7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</row>
    <row r="11" spans="2:16" ht="6.75" customHeight="1" hidden="1">
      <c r="B11" s="12"/>
      <c r="C11" s="12"/>
      <c r="D11" s="12"/>
      <c r="E11" s="12"/>
      <c r="F11" s="12"/>
      <c r="G11" s="13"/>
      <c r="H11" s="14"/>
      <c r="I11" s="15"/>
      <c r="J11" s="14"/>
      <c r="K11" s="15"/>
      <c r="L11" s="6"/>
      <c r="N11" s="6"/>
      <c r="O11" s="6"/>
      <c r="P11" s="6"/>
    </row>
    <row r="12" spans="1:31" ht="123" customHeight="1">
      <c r="A12" s="201" t="s">
        <v>1</v>
      </c>
      <c r="B12" s="202" t="s">
        <v>2</v>
      </c>
      <c r="C12" s="203" t="s">
        <v>3</v>
      </c>
      <c r="D12" s="203" t="s">
        <v>4</v>
      </c>
      <c r="E12" s="204" t="s">
        <v>5</v>
      </c>
      <c r="F12" s="205" t="s">
        <v>6</v>
      </c>
      <c r="G12" s="196" t="s">
        <v>7</v>
      </c>
      <c r="H12" s="208"/>
      <c r="I12" s="209" t="s">
        <v>8</v>
      </c>
      <c r="J12" s="208" t="s">
        <v>9</v>
      </c>
      <c r="K12" s="209" t="s">
        <v>10</v>
      </c>
      <c r="L12" s="210" t="s">
        <v>9</v>
      </c>
      <c r="M12" s="197" t="s">
        <v>7</v>
      </c>
      <c r="N12" s="6"/>
      <c r="O12" s="6"/>
      <c r="P12" s="6"/>
      <c r="T12" s="206" t="s">
        <v>9</v>
      </c>
      <c r="U12" s="207" t="s">
        <v>7</v>
      </c>
      <c r="AC12" s="206" t="s">
        <v>9</v>
      </c>
      <c r="AD12" s="207" t="s">
        <v>7</v>
      </c>
      <c r="AE12" s="207" t="s">
        <v>11</v>
      </c>
    </row>
    <row r="13" spans="1:31" ht="12.75" customHeight="1">
      <c r="A13" s="201"/>
      <c r="B13" s="202"/>
      <c r="C13" s="203"/>
      <c r="D13" s="203"/>
      <c r="E13" s="204"/>
      <c r="F13" s="205"/>
      <c r="G13" s="196"/>
      <c r="H13" s="208"/>
      <c r="I13" s="209"/>
      <c r="J13" s="208"/>
      <c r="K13" s="209"/>
      <c r="L13" s="210"/>
      <c r="M13" s="197"/>
      <c r="N13" s="6"/>
      <c r="O13" s="6"/>
      <c r="P13" s="6"/>
      <c r="T13" s="206"/>
      <c r="U13" s="207"/>
      <c r="AC13" s="206"/>
      <c r="AD13" s="207"/>
      <c r="AE13" s="207"/>
    </row>
    <row r="14" spans="1:31" ht="35.25" customHeight="1">
      <c r="A14" s="19">
        <v>703</v>
      </c>
      <c r="B14" s="20" t="s">
        <v>12</v>
      </c>
      <c r="C14" s="21"/>
      <c r="D14" s="21"/>
      <c r="E14" s="22"/>
      <c r="F14" s="21"/>
      <c r="G14" s="23" t="e">
        <f aca="true" t="shared" si="0" ref="G14:U14">G15+G55+G61+G73+G121+G199+G226+G241</f>
        <v>#REF!</v>
      </c>
      <c r="H14" s="16">
        <f t="shared" si="0"/>
        <v>274658.32985999994</v>
      </c>
      <c r="I14" s="17" t="e">
        <f t="shared" si="0"/>
        <v>#REF!</v>
      </c>
      <c r="J14" s="16">
        <f t="shared" si="0"/>
        <v>5151.042960000001</v>
      </c>
      <c r="K14" s="18" t="e">
        <f t="shared" si="0"/>
        <v>#REF!</v>
      </c>
      <c r="L14" s="18">
        <f t="shared" si="0"/>
        <v>17124.514450000006</v>
      </c>
      <c r="M14" s="24">
        <f t="shared" si="0"/>
        <v>391491.88726999995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16">
        <f t="shared" si="0"/>
        <v>-3458.2545699999996</v>
      </c>
      <c r="U14" s="16">
        <f t="shared" si="0"/>
        <v>388033.63269999996</v>
      </c>
      <c r="AC14" s="25">
        <f>AC15+AC55+AC61+AC73+AC121+AC199+AC226+AC241</f>
        <v>20726.8</v>
      </c>
      <c r="AD14" s="16">
        <f aca="true" t="shared" si="1" ref="AD14:AD125">U14+AC14</f>
        <v>408760.43269999995</v>
      </c>
      <c r="AE14" s="26">
        <f>AE15+AE55+AE61+AE73+AE121+AE199+AE226+AE241</f>
        <v>270027.11163</v>
      </c>
    </row>
    <row r="15" spans="1:31" ht="21" customHeight="1">
      <c r="A15" s="27"/>
      <c r="B15" s="20" t="s">
        <v>13</v>
      </c>
      <c r="C15" s="28" t="s">
        <v>14</v>
      </c>
      <c r="D15" s="21"/>
      <c r="E15" s="22"/>
      <c r="F15" s="21"/>
      <c r="G15" s="23">
        <f>G16+G20+G24+G32+G36</f>
        <v>21476.9</v>
      </c>
      <c r="H15" s="16">
        <f>H16+H20+H24+H32+H36</f>
        <v>1075.3</v>
      </c>
      <c r="I15" s="17">
        <f>I16+I20+I24+I32+I36</f>
        <v>22552.199999999997</v>
      </c>
      <c r="J15" s="16">
        <f>J16+J20+J24+J32+J36+J52</f>
        <v>0</v>
      </c>
      <c r="K15" s="29">
        <f>K16+K20+K24+K32+K36</f>
        <v>22552.199999999997</v>
      </c>
      <c r="L15" s="18">
        <f>L16+L20+L24+L32+L36+L52</f>
        <v>2945.2</v>
      </c>
      <c r="M15" s="30">
        <f aca="true" t="shared" si="2" ref="M15:T15">M16+M20+M24+M32+M36</f>
        <v>25497.4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16">
        <f t="shared" si="2"/>
        <v>48.054</v>
      </c>
      <c r="U15" s="16">
        <f>M15+T15</f>
        <v>25545.454</v>
      </c>
      <c r="AC15" s="31"/>
      <c r="AD15" s="32">
        <f t="shared" si="1"/>
        <v>25545.454</v>
      </c>
      <c r="AE15" s="26">
        <v>25283.6</v>
      </c>
    </row>
    <row r="16" spans="1:31" ht="63">
      <c r="A16" s="27"/>
      <c r="B16" s="20" t="s">
        <v>15</v>
      </c>
      <c r="C16" s="28" t="s">
        <v>14</v>
      </c>
      <c r="D16" s="28" t="s">
        <v>16</v>
      </c>
      <c r="E16" s="33"/>
      <c r="F16" s="28"/>
      <c r="G16" s="23">
        <f aca="true" t="shared" si="3" ref="G16:M18">G17</f>
        <v>1014.3</v>
      </c>
      <c r="H16" s="16">
        <f t="shared" si="3"/>
        <v>36.514</v>
      </c>
      <c r="I16" s="17">
        <f t="shared" si="3"/>
        <v>1050.8139999999999</v>
      </c>
      <c r="J16" s="16">
        <f t="shared" si="3"/>
        <v>0</v>
      </c>
      <c r="K16" s="34">
        <f t="shared" si="3"/>
        <v>1050.8139999999999</v>
      </c>
      <c r="L16" s="18">
        <f t="shared" si="3"/>
        <v>0</v>
      </c>
      <c r="M16" s="35">
        <f t="shared" si="3"/>
        <v>1050.8139999999999</v>
      </c>
      <c r="N16" s="6"/>
      <c r="O16" s="6"/>
      <c r="P16" s="6"/>
      <c r="T16" s="36"/>
      <c r="U16" s="32">
        <f>U17</f>
        <v>1050.8139999999999</v>
      </c>
      <c r="AC16" s="31"/>
      <c r="AD16" s="32">
        <f t="shared" si="1"/>
        <v>1050.8139999999999</v>
      </c>
      <c r="AE16" s="26">
        <f aca="true" t="shared" si="4" ref="AE16:AE23">V16+AD16</f>
        <v>1050.8139999999999</v>
      </c>
    </row>
    <row r="17" spans="1:31" ht="15.75">
      <c r="A17" s="27"/>
      <c r="B17" s="37" t="s">
        <v>17</v>
      </c>
      <c r="C17" s="38" t="s">
        <v>14</v>
      </c>
      <c r="D17" s="38" t="s">
        <v>16</v>
      </c>
      <c r="E17" s="39" t="s">
        <v>18</v>
      </c>
      <c r="F17" s="38"/>
      <c r="G17" s="40">
        <f t="shared" si="3"/>
        <v>1014.3</v>
      </c>
      <c r="H17" s="41">
        <f t="shared" si="3"/>
        <v>36.514</v>
      </c>
      <c r="I17" s="42">
        <f t="shared" si="3"/>
        <v>1050.8139999999999</v>
      </c>
      <c r="J17" s="41">
        <f t="shared" si="3"/>
        <v>0</v>
      </c>
      <c r="K17" s="43">
        <f t="shared" si="3"/>
        <v>1050.8139999999999</v>
      </c>
      <c r="L17" s="44">
        <f t="shared" si="3"/>
        <v>0</v>
      </c>
      <c r="M17" s="45">
        <f t="shared" si="3"/>
        <v>1050.8139999999999</v>
      </c>
      <c r="N17" s="6"/>
      <c r="O17" s="6"/>
      <c r="P17" s="6"/>
      <c r="T17" s="36"/>
      <c r="U17" s="46">
        <f>U18</f>
        <v>1050.8139999999999</v>
      </c>
      <c r="AC17" s="31"/>
      <c r="AD17" s="32">
        <f t="shared" si="1"/>
        <v>1050.8139999999999</v>
      </c>
      <c r="AE17" s="26">
        <f t="shared" si="4"/>
        <v>1050.8139999999999</v>
      </c>
    </row>
    <row r="18" spans="1:31" ht="15.75">
      <c r="A18" s="27"/>
      <c r="B18" s="37" t="s">
        <v>19</v>
      </c>
      <c r="C18" s="38" t="s">
        <v>14</v>
      </c>
      <c r="D18" s="38" t="s">
        <v>16</v>
      </c>
      <c r="E18" s="39" t="s">
        <v>20</v>
      </c>
      <c r="F18" s="38"/>
      <c r="G18" s="40">
        <f t="shared" si="3"/>
        <v>1014.3</v>
      </c>
      <c r="H18" s="41">
        <f t="shared" si="3"/>
        <v>36.514</v>
      </c>
      <c r="I18" s="42">
        <f t="shared" si="3"/>
        <v>1050.8139999999999</v>
      </c>
      <c r="J18" s="41">
        <f t="shared" si="3"/>
        <v>0</v>
      </c>
      <c r="K18" s="43">
        <f t="shared" si="3"/>
        <v>1050.8139999999999</v>
      </c>
      <c r="L18" s="44">
        <f t="shared" si="3"/>
        <v>0</v>
      </c>
      <c r="M18" s="45">
        <f t="shared" si="3"/>
        <v>1050.8139999999999</v>
      </c>
      <c r="N18" s="6"/>
      <c r="O18" s="6"/>
      <c r="P18" s="6"/>
      <c r="T18" s="36"/>
      <c r="U18" s="46">
        <f>U19</f>
        <v>1050.8139999999999</v>
      </c>
      <c r="AC18" s="31"/>
      <c r="AD18" s="32">
        <f t="shared" si="1"/>
        <v>1050.8139999999999</v>
      </c>
      <c r="AE18" s="26">
        <f t="shared" si="4"/>
        <v>1050.8139999999999</v>
      </c>
    </row>
    <row r="19" spans="1:31" ht="155.25" customHeight="1">
      <c r="A19" s="27"/>
      <c r="B19" s="47" t="s">
        <v>21</v>
      </c>
      <c r="C19" s="38" t="s">
        <v>14</v>
      </c>
      <c r="D19" s="38" t="s">
        <v>16</v>
      </c>
      <c r="E19" s="39" t="s">
        <v>22</v>
      </c>
      <c r="F19" s="38" t="s">
        <v>23</v>
      </c>
      <c r="G19" s="40">
        <v>1014.3</v>
      </c>
      <c r="H19" s="41">
        <v>36.514</v>
      </c>
      <c r="I19" s="42">
        <f>1014.3+36.514</f>
        <v>1050.8139999999999</v>
      </c>
      <c r="J19" s="41">
        <v>0</v>
      </c>
      <c r="K19" s="43">
        <f>1014.3+36.514</f>
        <v>1050.8139999999999</v>
      </c>
      <c r="L19" s="44">
        <v>0</v>
      </c>
      <c r="M19" s="45">
        <f>1014.3+36.514</f>
        <v>1050.8139999999999</v>
      </c>
      <c r="N19" s="6"/>
      <c r="O19" s="6"/>
      <c r="P19" s="6"/>
      <c r="T19" s="36"/>
      <c r="U19" s="46">
        <f>1014.3+36.514+T19</f>
        <v>1050.8139999999999</v>
      </c>
      <c r="AC19" s="31"/>
      <c r="AD19" s="32">
        <f t="shared" si="1"/>
        <v>1050.8139999999999</v>
      </c>
      <c r="AE19" s="26">
        <f t="shared" si="4"/>
        <v>1050.8139999999999</v>
      </c>
    </row>
    <row r="20" spans="1:31" ht="98.25" customHeight="1">
      <c r="A20" s="27"/>
      <c r="B20" s="20" t="s">
        <v>24</v>
      </c>
      <c r="C20" s="28" t="s">
        <v>14</v>
      </c>
      <c r="D20" s="28" t="s">
        <v>25</v>
      </c>
      <c r="E20" s="33"/>
      <c r="F20" s="38"/>
      <c r="G20" s="23">
        <f>G21</f>
        <v>30</v>
      </c>
      <c r="H20" s="16"/>
      <c r="I20" s="17">
        <f>I21</f>
        <v>30</v>
      </c>
      <c r="J20" s="16"/>
      <c r="K20" s="29">
        <f>K21</f>
        <v>30</v>
      </c>
      <c r="L20" s="18"/>
      <c r="M20" s="30">
        <f>M21</f>
        <v>30</v>
      </c>
      <c r="N20" s="6"/>
      <c r="O20" s="6"/>
      <c r="P20" s="6"/>
      <c r="T20" s="36"/>
      <c r="U20" s="23">
        <f>U21</f>
        <v>30</v>
      </c>
      <c r="AC20" s="31"/>
      <c r="AD20" s="23">
        <f t="shared" si="1"/>
        <v>30</v>
      </c>
      <c r="AE20" s="26">
        <f t="shared" si="4"/>
        <v>30</v>
      </c>
    </row>
    <row r="21" spans="1:31" ht="15.75">
      <c r="A21" s="27"/>
      <c r="B21" s="37" t="s">
        <v>17</v>
      </c>
      <c r="C21" s="38" t="s">
        <v>14</v>
      </c>
      <c r="D21" s="38" t="s">
        <v>25</v>
      </c>
      <c r="E21" s="39" t="s">
        <v>18</v>
      </c>
      <c r="F21" s="38"/>
      <c r="G21" s="40">
        <f>G22</f>
        <v>30</v>
      </c>
      <c r="H21" s="41"/>
      <c r="I21" s="42">
        <f>I22</f>
        <v>30</v>
      </c>
      <c r="J21" s="41"/>
      <c r="K21" s="48">
        <f>K22</f>
        <v>30</v>
      </c>
      <c r="L21" s="44"/>
      <c r="M21" s="49">
        <f>M22</f>
        <v>30</v>
      </c>
      <c r="N21" s="6"/>
      <c r="O21" s="6"/>
      <c r="P21" s="6"/>
      <c r="T21" s="36"/>
      <c r="U21" s="40">
        <f>U22</f>
        <v>30</v>
      </c>
      <c r="AC21" s="31"/>
      <c r="AD21" s="23">
        <f t="shared" si="1"/>
        <v>30</v>
      </c>
      <c r="AE21" s="26">
        <f t="shared" si="4"/>
        <v>30</v>
      </c>
    </row>
    <row r="22" spans="1:31" ht="15.75">
      <c r="A22" s="27"/>
      <c r="B22" s="37" t="s">
        <v>19</v>
      </c>
      <c r="C22" s="38" t="s">
        <v>14</v>
      </c>
      <c r="D22" s="38" t="s">
        <v>25</v>
      </c>
      <c r="E22" s="39" t="s">
        <v>20</v>
      </c>
      <c r="F22" s="38"/>
      <c r="G22" s="40">
        <f>G23</f>
        <v>30</v>
      </c>
      <c r="H22" s="41"/>
      <c r="I22" s="42">
        <f>I23</f>
        <v>30</v>
      </c>
      <c r="J22" s="41"/>
      <c r="K22" s="48">
        <f>K23</f>
        <v>30</v>
      </c>
      <c r="L22" s="44"/>
      <c r="M22" s="49">
        <f>M23</f>
        <v>30</v>
      </c>
      <c r="N22" s="6"/>
      <c r="O22" s="6"/>
      <c r="P22" s="6"/>
      <c r="T22" s="36"/>
      <c r="U22" s="40">
        <f>U23</f>
        <v>30</v>
      </c>
      <c r="AC22" s="31"/>
      <c r="AD22" s="23">
        <f t="shared" si="1"/>
        <v>30</v>
      </c>
      <c r="AE22" s="26">
        <f t="shared" si="4"/>
        <v>30</v>
      </c>
    </row>
    <row r="23" spans="1:31" ht="78.75">
      <c r="A23" s="27"/>
      <c r="B23" s="50" t="s">
        <v>26</v>
      </c>
      <c r="C23" s="38" t="s">
        <v>14</v>
      </c>
      <c r="D23" s="38" t="s">
        <v>25</v>
      </c>
      <c r="E23" s="39" t="s">
        <v>27</v>
      </c>
      <c r="F23" s="38" t="s">
        <v>28</v>
      </c>
      <c r="G23" s="40">
        <v>30</v>
      </c>
      <c r="H23" s="41"/>
      <c r="I23" s="42">
        <v>30</v>
      </c>
      <c r="J23" s="41"/>
      <c r="K23" s="48">
        <v>30</v>
      </c>
      <c r="L23" s="44"/>
      <c r="M23" s="49">
        <v>30</v>
      </c>
      <c r="N23" s="6"/>
      <c r="O23" s="6"/>
      <c r="P23" s="6"/>
      <c r="T23" s="36"/>
      <c r="U23" s="40">
        <v>30</v>
      </c>
      <c r="AC23" s="31"/>
      <c r="AD23" s="23">
        <f t="shared" si="1"/>
        <v>30</v>
      </c>
      <c r="AE23" s="26">
        <f t="shared" si="4"/>
        <v>30</v>
      </c>
    </row>
    <row r="24" spans="1:31" ht="99.75" customHeight="1">
      <c r="A24" s="27"/>
      <c r="B24" s="51" t="s">
        <v>29</v>
      </c>
      <c r="C24" s="28" t="s">
        <v>14</v>
      </c>
      <c r="D24" s="28" t="s">
        <v>30</v>
      </c>
      <c r="E24" s="39"/>
      <c r="F24" s="21"/>
      <c r="G24" s="23">
        <f aca="true" t="shared" si="5" ref="G24:M25">G25</f>
        <v>3863.6</v>
      </c>
      <c r="H24" s="16">
        <f t="shared" si="5"/>
        <v>103.68</v>
      </c>
      <c r="I24" s="17">
        <f t="shared" si="5"/>
        <v>3967.2799999999997</v>
      </c>
      <c r="J24" s="16">
        <f t="shared" si="5"/>
        <v>0</v>
      </c>
      <c r="K24" s="29">
        <f t="shared" si="5"/>
        <v>3967.2799999999997</v>
      </c>
      <c r="L24" s="18">
        <f t="shared" si="5"/>
        <v>691.3</v>
      </c>
      <c r="M24" s="35">
        <f t="shared" si="5"/>
        <v>4658.58</v>
      </c>
      <c r="N24" s="6"/>
      <c r="O24" s="6"/>
      <c r="P24" s="6"/>
      <c r="T24" s="36">
        <f>T25</f>
        <v>0</v>
      </c>
      <c r="U24" s="32">
        <f>U25</f>
        <v>4658.58</v>
      </c>
      <c r="V24" s="6"/>
      <c r="AC24" s="31"/>
      <c r="AD24" s="23">
        <f t="shared" si="1"/>
        <v>4658.58</v>
      </c>
      <c r="AE24" s="23">
        <f>AE25</f>
        <v>4548</v>
      </c>
    </row>
    <row r="25" spans="1:31" ht="15.75">
      <c r="A25" s="27"/>
      <c r="B25" s="52" t="s">
        <v>31</v>
      </c>
      <c r="C25" s="38" t="s">
        <v>14</v>
      </c>
      <c r="D25" s="38" t="s">
        <v>30</v>
      </c>
      <c r="E25" s="39" t="s">
        <v>32</v>
      </c>
      <c r="F25" s="38"/>
      <c r="G25" s="40">
        <f t="shared" si="5"/>
        <v>3863.6</v>
      </c>
      <c r="H25" s="41">
        <f t="shared" si="5"/>
        <v>103.68</v>
      </c>
      <c r="I25" s="42">
        <f t="shared" si="5"/>
        <v>3967.2799999999997</v>
      </c>
      <c r="J25" s="41">
        <f t="shared" si="5"/>
        <v>0</v>
      </c>
      <c r="K25" s="53">
        <f t="shared" si="5"/>
        <v>3967.2799999999997</v>
      </c>
      <c r="L25" s="44">
        <f t="shared" si="5"/>
        <v>691.3</v>
      </c>
      <c r="M25" s="45">
        <f t="shared" si="5"/>
        <v>4658.58</v>
      </c>
      <c r="N25" s="6"/>
      <c r="O25" s="6"/>
      <c r="P25" s="6"/>
      <c r="T25" s="36">
        <f>T26</f>
        <v>0</v>
      </c>
      <c r="U25" s="46">
        <f>U26</f>
        <v>4658.58</v>
      </c>
      <c r="AC25" s="31"/>
      <c r="AD25" s="23">
        <f t="shared" si="1"/>
        <v>4658.58</v>
      </c>
      <c r="AE25" s="23">
        <f>AE26</f>
        <v>4548</v>
      </c>
    </row>
    <row r="26" spans="1:31" ht="19.5" customHeight="1">
      <c r="A26" s="27"/>
      <c r="B26" s="54" t="s">
        <v>19</v>
      </c>
      <c r="C26" s="55" t="s">
        <v>14</v>
      </c>
      <c r="D26" s="55" t="s">
        <v>30</v>
      </c>
      <c r="E26" s="56" t="s">
        <v>33</v>
      </c>
      <c r="F26" s="55"/>
      <c r="G26" s="40">
        <f>G27+G28+G30+G31</f>
        <v>3863.6</v>
      </c>
      <c r="H26" s="41">
        <f>H27+H28+H30+H31</f>
        <v>103.68</v>
      </c>
      <c r="I26" s="42">
        <f>I27+I28+I30+I31</f>
        <v>3967.2799999999997</v>
      </c>
      <c r="J26" s="41">
        <f>J27+J28+J30+J31</f>
        <v>0</v>
      </c>
      <c r="K26" s="53">
        <f>K27+K28+K30+K31</f>
        <v>3967.2799999999997</v>
      </c>
      <c r="L26" s="44">
        <f>L27+L28+L30+L31+L29</f>
        <v>691.3</v>
      </c>
      <c r="M26" s="45">
        <f>M27+M28+M30+M31+M29</f>
        <v>4658.58</v>
      </c>
      <c r="N26" s="6"/>
      <c r="O26" s="6"/>
      <c r="P26" s="6"/>
      <c r="T26" s="36">
        <f>T27+T28+T29+T30+T31</f>
        <v>0</v>
      </c>
      <c r="U26" s="46">
        <f>M26+T26</f>
        <v>4658.58</v>
      </c>
      <c r="AC26" s="31"/>
      <c r="AD26" s="23">
        <f t="shared" si="1"/>
        <v>4658.58</v>
      </c>
      <c r="AE26" s="23">
        <v>4548</v>
      </c>
    </row>
    <row r="27" spans="1:31" ht="162.75" customHeight="1">
      <c r="A27" s="27"/>
      <c r="B27" s="57" t="s">
        <v>34</v>
      </c>
      <c r="C27" s="55" t="s">
        <v>14</v>
      </c>
      <c r="D27" s="55" t="s">
        <v>30</v>
      </c>
      <c r="E27" s="56" t="s">
        <v>35</v>
      </c>
      <c r="F27" s="55" t="s">
        <v>23</v>
      </c>
      <c r="G27" s="40">
        <v>1146</v>
      </c>
      <c r="H27" s="41">
        <v>37.357</v>
      </c>
      <c r="I27" s="42">
        <f>1146+37.357</f>
        <v>1183.357</v>
      </c>
      <c r="J27" s="41">
        <v>0</v>
      </c>
      <c r="K27" s="44">
        <f>1146+37.357</f>
        <v>1183.357</v>
      </c>
      <c r="L27" s="44">
        <f>232.2</f>
        <v>232.2</v>
      </c>
      <c r="M27" s="45">
        <f>1146+37.357+232.2</f>
        <v>1415.557</v>
      </c>
      <c r="N27" s="6"/>
      <c r="O27" s="6"/>
      <c r="P27" s="6"/>
      <c r="T27" s="58">
        <f>57.29966+24.34869</f>
        <v>81.64835000000001</v>
      </c>
      <c r="U27" s="41">
        <f>M27+T27</f>
        <v>1497.20535</v>
      </c>
      <c r="AC27" s="31"/>
      <c r="AD27" s="16">
        <f t="shared" si="1"/>
        <v>1497.20535</v>
      </c>
      <c r="AE27" s="26">
        <f>V27+AD27</f>
        <v>1497.20535</v>
      </c>
    </row>
    <row r="28" spans="1:31" ht="164.25" customHeight="1">
      <c r="A28" s="27"/>
      <c r="B28" s="59" t="s">
        <v>36</v>
      </c>
      <c r="C28" s="60" t="s">
        <v>14</v>
      </c>
      <c r="D28" s="60" t="s">
        <v>30</v>
      </c>
      <c r="E28" s="61" t="s">
        <v>37</v>
      </c>
      <c r="F28" s="55" t="s">
        <v>23</v>
      </c>
      <c r="G28" s="40">
        <f>2055.6-124.6</f>
        <v>1931</v>
      </c>
      <c r="H28" s="41">
        <v>69.923</v>
      </c>
      <c r="I28" s="42">
        <f>2055.6-124.6+69.923</f>
        <v>2000.923</v>
      </c>
      <c r="J28" s="41">
        <v>0</v>
      </c>
      <c r="K28" s="62">
        <f>2055.6-124.6+69.923</f>
        <v>2000.923</v>
      </c>
      <c r="L28" s="44">
        <f>360.8</f>
        <v>360.8</v>
      </c>
      <c r="M28" s="45">
        <f>2055.6-124.6+69.923+360.8</f>
        <v>2361.723</v>
      </c>
      <c r="N28" s="6"/>
      <c r="O28" s="6"/>
      <c r="P28" s="6"/>
      <c r="T28" s="58">
        <f>-57.29966-24.34869</f>
        <v>-81.64835000000001</v>
      </c>
      <c r="U28" s="41">
        <f>M28+T28</f>
        <v>2280.07465</v>
      </c>
      <c r="AC28" s="31"/>
      <c r="AD28" s="16">
        <f t="shared" si="1"/>
        <v>2280.07465</v>
      </c>
      <c r="AE28" s="26">
        <v>2237.9</v>
      </c>
    </row>
    <row r="29" spans="1:31" ht="157.5">
      <c r="A29" s="27"/>
      <c r="B29" s="59" t="s">
        <v>38</v>
      </c>
      <c r="C29" s="63" t="s">
        <v>14</v>
      </c>
      <c r="D29" s="63" t="s">
        <v>30</v>
      </c>
      <c r="E29" s="64" t="s">
        <v>39</v>
      </c>
      <c r="F29" s="55" t="s">
        <v>23</v>
      </c>
      <c r="G29" s="40"/>
      <c r="H29" s="41"/>
      <c r="I29" s="42"/>
      <c r="J29" s="41"/>
      <c r="K29" s="62">
        <v>0</v>
      </c>
      <c r="L29" s="44">
        <f>98.3</f>
        <v>98.3</v>
      </c>
      <c r="M29" s="49">
        <f>K29+L29</f>
        <v>98.3</v>
      </c>
      <c r="N29" s="6"/>
      <c r="O29" s="6"/>
      <c r="P29" s="6"/>
      <c r="T29" s="36"/>
      <c r="U29" s="40">
        <f>M29</f>
        <v>98.3</v>
      </c>
      <c r="AC29" s="31"/>
      <c r="AD29" s="23">
        <f t="shared" si="1"/>
        <v>98.3</v>
      </c>
      <c r="AE29" s="23">
        <f>V29+AD29</f>
        <v>98.3</v>
      </c>
    </row>
    <row r="30" spans="1:31" ht="63">
      <c r="A30" s="27"/>
      <c r="B30" s="59" t="s">
        <v>40</v>
      </c>
      <c r="C30" s="65" t="s">
        <v>14</v>
      </c>
      <c r="D30" s="65" t="s">
        <v>30</v>
      </c>
      <c r="E30" s="66" t="s">
        <v>27</v>
      </c>
      <c r="F30" s="55" t="s">
        <v>28</v>
      </c>
      <c r="G30" s="40">
        <f>171+469+124.6</f>
        <v>764.6</v>
      </c>
      <c r="H30" s="41">
        <f>-84.48369+75.28369</f>
        <v>-9.199999999999989</v>
      </c>
      <c r="I30" s="42">
        <f>171+469+124.6-84.48369+75.28369</f>
        <v>755.4</v>
      </c>
      <c r="J30" s="41">
        <v>0</v>
      </c>
      <c r="K30" s="48">
        <f>171+469+124.6-84.48369+75.28369</f>
        <v>755.4</v>
      </c>
      <c r="L30" s="44">
        <f>0-1</f>
        <v>-1</v>
      </c>
      <c r="M30" s="49">
        <f>171+469+124.6-84.48369+75.28369-1</f>
        <v>754.4</v>
      </c>
      <c r="N30" s="6"/>
      <c r="O30" s="6"/>
      <c r="P30" s="6"/>
      <c r="T30" s="67">
        <v>0.977</v>
      </c>
      <c r="U30" s="46">
        <f>171+469+124.6-84.48369+75.28369-1+T30</f>
        <v>755.377</v>
      </c>
      <c r="AC30" s="31"/>
      <c r="AD30" s="32">
        <f t="shared" si="1"/>
        <v>755.377</v>
      </c>
      <c r="AE30" s="26">
        <v>687</v>
      </c>
    </row>
    <row r="31" spans="1:31" ht="47.25">
      <c r="A31" s="27"/>
      <c r="B31" s="59" t="s">
        <v>41</v>
      </c>
      <c r="C31" s="65" t="s">
        <v>14</v>
      </c>
      <c r="D31" s="65" t="s">
        <v>30</v>
      </c>
      <c r="E31" s="66" t="s">
        <v>27</v>
      </c>
      <c r="F31" s="55" t="s">
        <v>42</v>
      </c>
      <c r="G31" s="40">
        <v>22</v>
      </c>
      <c r="H31" s="41">
        <v>5.6</v>
      </c>
      <c r="I31" s="42">
        <f>22+5.6</f>
        <v>27.6</v>
      </c>
      <c r="J31" s="41">
        <v>0</v>
      </c>
      <c r="K31" s="48">
        <f>22+5.6</f>
        <v>27.6</v>
      </c>
      <c r="L31" s="44">
        <f>0+1</f>
        <v>1</v>
      </c>
      <c r="M31" s="49">
        <f>22+5.6+1</f>
        <v>28.6</v>
      </c>
      <c r="N31" s="6"/>
      <c r="O31" s="6"/>
      <c r="P31" s="6"/>
      <c r="T31" s="67">
        <v>-0.977</v>
      </c>
      <c r="U31" s="46">
        <f>22+5.6+1+T31</f>
        <v>27.623</v>
      </c>
      <c r="AC31" s="31"/>
      <c r="AD31" s="32">
        <f t="shared" si="1"/>
        <v>27.623</v>
      </c>
      <c r="AE31" s="26">
        <f>V31+AD31</f>
        <v>27.623</v>
      </c>
    </row>
    <row r="32" spans="1:31" ht="15" customHeight="1" hidden="1">
      <c r="A32" s="27"/>
      <c r="B32" s="68" t="s">
        <v>43</v>
      </c>
      <c r="C32" s="69" t="s">
        <v>14</v>
      </c>
      <c r="D32" s="69" t="s">
        <v>44</v>
      </c>
      <c r="E32" s="70"/>
      <c r="F32" s="69"/>
      <c r="G32" s="23">
        <f>G33</f>
        <v>20</v>
      </c>
      <c r="H32" s="16"/>
      <c r="I32" s="17">
        <f>I33</f>
        <v>20</v>
      </c>
      <c r="J32" s="16"/>
      <c r="K32" s="29">
        <f>K33</f>
        <v>20</v>
      </c>
      <c r="L32" s="18"/>
      <c r="M32" s="30">
        <f>M33</f>
        <v>20</v>
      </c>
      <c r="N32" s="6"/>
      <c r="O32" s="6"/>
      <c r="P32" s="6"/>
      <c r="T32" s="36">
        <f>T34</f>
        <v>-20</v>
      </c>
      <c r="U32" s="23">
        <f>M32+T32</f>
        <v>0</v>
      </c>
      <c r="AC32" s="31"/>
      <c r="AD32" s="16">
        <f t="shared" si="1"/>
        <v>0</v>
      </c>
      <c r="AE32" s="16">
        <f>V32+AD32</f>
        <v>0</v>
      </c>
    </row>
    <row r="33" spans="1:31" ht="15" customHeight="1" hidden="1">
      <c r="A33" s="27"/>
      <c r="B33" s="52" t="s">
        <v>17</v>
      </c>
      <c r="C33" s="55" t="s">
        <v>14</v>
      </c>
      <c r="D33" s="55" t="s">
        <v>44</v>
      </c>
      <c r="E33" s="56" t="s">
        <v>32</v>
      </c>
      <c r="F33" s="55"/>
      <c r="G33" s="40">
        <f>G34</f>
        <v>20</v>
      </c>
      <c r="H33" s="41"/>
      <c r="I33" s="42">
        <f>I34</f>
        <v>20</v>
      </c>
      <c r="J33" s="41"/>
      <c r="K33" s="48">
        <f>K34</f>
        <v>20</v>
      </c>
      <c r="L33" s="44"/>
      <c r="M33" s="49">
        <f>M34</f>
        <v>20</v>
      </c>
      <c r="N33" s="6"/>
      <c r="O33" s="6"/>
      <c r="P33" s="6"/>
      <c r="T33" s="36">
        <f>T35</f>
        <v>-20</v>
      </c>
      <c r="U33" s="40">
        <f>U34</f>
        <v>0</v>
      </c>
      <c r="AC33" s="31"/>
      <c r="AD33" s="16">
        <f t="shared" si="1"/>
        <v>0</v>
      </c>
      <c r="AE33" s="16">
        <f>V33+AD33</f>
        <v>0</v>
      </c>
    </row>
    <row r="34" spans="1:31" ht="20.25" customHeight="1" hidden="1">
      <c r="A34" s="27"/>
      <c r="B34" s="52" t="s">
        <v>45</v>
      </c>
      <c r="C34" s="55" t="s">
        <v>14</v>
      </c>
      <c r="D34" s="55" t="s">
        <v>44</v>
      </c>
      <c r="E34" s="56" t="s">
        <v>33</v>
      </c>
      <c r="F34" s="55"/>
      <c r="G34" s="40">
        <f>G35</f>
        <v>20</v>
      </c>
      <c r="H34" s="41"/>
      <c r="I34" s="42">
        <f>I35</f>
        <v>20</v>
      </c>
      <c r="J34" s="41"/>
      <c r="K34" s="48">
        <f>K35</f>
        <v>20</v>
      </c>
      <c r="L34" s="44"/>
      <c r="M34" s="49">
        <f>M35</f>
        <v>20</v>
      </c>
      <c r="N34" s="6"/>
      <c r="O34" s="6"/>
      <c r="P34" s="6"/>
      <c r="T34" s="36">
        <f>T35</f>
        <v>-20</v>
      </c>
      <c r="U34" s="40">
        <f>U35</f>
        <v>0</v>
      </c>
      <c r="AC34" s="31"/>
      <c r="AD34" s="16">
        <f t="shared" si="1"/>
        <v>0</v>
      </c>
      <c r="AE34" s="16">
        <f>V34+AD34</f>
        <v>0</v>
      </c>
    </row>
    <row r="35" spans="1:31" ht="63" hidden="1">
      <c r="A35" s="27"/>
      <c r="B35" s="52" t="s">
        <v>46</v>
      </c>
      <c r="C35" s="55" t="s">
        <v>14</v>
      </c>
      <c r="D35" s="55" t="s">
        <v>44</v>
      </c>
      <c r="E35" s="56" t="s">
        <v>47</v>
      </c>
      <c r="F35" s="55" t="s">
        <v>42</v>
      </c>
      <c r="G35" s="40">
        <v>20</v>
      </c>
      <c r="H35" s="41"/>
      <c r="I35" s="42">
        <v>20</v>
      </c>
      <c r="J35" s="41"/>
      <c r="K35" s="48">
        <v>20</v>
      </c>
      <c r="L35" s="44"/>
      <c r="M35" s="49">
        <v>20</v>
      </c>
      <c r="N35" s="6"/>
      <c r="O35" s="6"/>
      <c r="P35" s="6"/>
      <c r="T35" s="36">
        <v>-20</v>
      </c>
      <c r="U35" s="40">
        <f>20+T35</f>
        <v>0</v>
      </c>
      <c r="W35" t="s">
        <v>48</v>
      </c>
      <c r="AC35" s="31"/>
      <c r="AD35" s="16">
        <f t="shared" si="1"/>
        <v>0</v>
      </c>
      <c r="AE35" s="16">
        <f>V35+AD35</f>
        <v>0</v>
      </c>
    </row>
    <row r="36" spans="1:31" ht="31.5">
      <c r="A36" s="27"/>
      <c r="B36" s="20" t="s">
        <v>49</v>
      </c>
      <c r="C36" s="69" t="s">
        <v>14</v>
      </c>
      <c r="D36" s="69" t="s">
        <v>50</v>
      </c>
      <c r="E36" s="70"/>
      <c r="F36" s="69"/>
      <c r="G36" s="23">
        <f aca="true" t="shared" si="6" ref="G36:T36">G37+G42+G49+G52</f>
        <v>16549</v>
      </c>
      <c r="H36" s="16">
        <f t="shared" si="6"/>
        <v>935.106</v>
      </c>
      <c r="I36" s="17">
        <f t="shared" si="6"/>
        <v>17484.106</v>
      </c>
      <c r="J36" s="16">
        <f t="shared" si="6"/>
        <v>0</v>
      </c>
      <c r="K36" s="34">
        <f t="shared" si="6"/>
        <v>17484.106</v>
      </c>
      <c r="L36" s="18">
        <f t="shared" si="6"/>
        <v>2253.9</v>
      </c>
      <c r="M36" s="35">
        <f t="shared" si="6"/>
        <v>19738.006</v>
      </c>
      <c r="N36" s="35">
        <f t="shared" si="6"/>
        <v>0</v>
      </c>
      <c r="O36" s="35">
        <f t="shared" si="6"/>
        <v>0</v>
      </c>
      <c r="P36" s="35">
        <f t="shared" si="6"/>
        <v>0</v>
      </c>
      <c r="Q36" s="35">
        <f t="shared" si="6"/>
        <v>0</v>
      </c>
      <c r="R36" s="35">
        <f t="shared" si="6"/>
        <v>0</v>
      </c>
      <c r="S36" s="35">
        <f t="shared" si="6"/>
        <v>0</v>
      </c>
      <c r="T36" s="16">
        <f t="shared" si="6"/>
        <v>68.054</v>
      </c>
      <c r="U36" s="32">
        <f>M36+T36</f>
        <v>19806.06</v>
      </c>
      <c r="AC36" s="31"/>
      <c r="AD36" s="23">
        <f t="shared" si="1"/>
        <v>19806.06</v>
      </c>
      <c r="AE36" s="26">
        <f>AE37+AE42+AE49+AE52</f>
        <v>19654.774</v>
      </c>
    </row>
    <row r="37" spans="1:31" ht="68.25" customHeight="1">
      <c r="A37" s="27"/>
      <c r="B37" s="20" t="s">
        <v>51</v>
      </c>
      <c r="C37" s="69" t="s">
        <v>14</v>
      </c>
      <c r="D37" s="69" t="s">
        <v>50</v>
      </c>
      <c r="E37" s="70" t="s">
        <v>14</v>
      </c>
      <c r="F37" s="69"/>
      <c r="G37" s="23">
        <f>G38+G40</f>
        <v>410</v>
      </c>
      <c r="H37" s="16"/>
      <c r="I37" s="17">
        <f>I38+I40</f>
        <v>410</v>
      </c>
      <c r="J37" s="16"/>
      <c r="K37" s="29">
        <f>K38+K40</f>
        <v>410</v>
      </c>
      <c r="L37" s="18"/>
      <c r="M37" s="30">
        <f>M38+M40</f>
        <v>410</v>
      </c>
      <c r="N37" s="6"/>
      <c r="O37" s="6"/>
      <c r="P37" s="6"/>
      <c r="T37" s="36">
        <f>T40+T38</f>
        <v>68.3</v>
      </c>
      <c r="U37" s="23">
        <f>M37+T37</f>
        <v>478.3</v>
      </c>
      <c r="AC37" s="31"/>
      <c r="AD37" s="23">
        <f t="shared" si="1"/>
        <v>478.3</v>
      </c>
      <c r="AE37" s="23">
        <f>AE40</f>
        <v>450</v>
      </c>
    </row>
    <row r="38" spans="1:31" ht="67.5" customHeight="1" hidden="1">
      <c r="A38" s="27"/>
      <c r="B38" s="59" t="s">
        <v>52</v>
      </c>
      <c r="C38" s="55" t="s">
        <v>14</v>
      </c>
      <c r="D38" s="55" t="s">
        <v>50</v>
      </c>
      <c r="E38" s="56" t="s">
        <v>53</v>
      </c>
      <c r="F38" s="55"/>
      <c r="G38" s="40">
        <f>G39</f>
        <v>10</v>
      </c>
      <c r="H38" s="41"/>
      <c r="I38" s="42">
        <f>I39</f>
        <v>10</v>
      </c>
      <c r="J38" s="41"/>
      <c r="K38" s="48">
        <f>K39</f>
        <v>10</v>
      </c>
      <c r="L38" s="44"/>
      <c r="M38" s="49">
        <f>M39</f>
        <v>10</v>
      </c>
      <c r="N38" s="6"/>
      <c r="O38" s="6"/>
      <c r="P38" s="6"/>
      <c r="T38" s="36">
        <f>T39</f>
        <v>-10</v>
      </c>
      <c r="U38" s="40">
        <f>U39</f>
        <v>0</v>
      </c>
      <c r="AC38" s="31"/>
      <c r="AD38" s="23">
        <f t="shared" si="1"/>
        <v>0</v>
      </c>
      <c r="AE38" s="23">
        <f>V38+AD38</f>
        <v>0</v>
      </c>
    </row>
    <row r="39" spans="1:31" ht="69" customHeight="1" hidden="1">
      <c r="A39" s="27"/>
      <c r="B39" s="59" t="s">
        <v>54</v>
      </c>
      <c r="C39" s="55" t="s">
        <v>14</v>
      </c>
      <c r="D39" s="55" t="s">
        <v>50</v>
      </c>
      <c r="E39" s="56" t="s">
        <v>55</v>
      </c>
      <c r="F39" s="55" t="s">
        <v>28</v>
      </c>
      <c r="G39" s="40">
        <f>10</f>
        <v>10</v>
      </c>
      <c r="H39" s="41"/>
      <c r="I39" s="42">
        <f>10</f>
        <v>10</v>
      </c>
      <c r="J39" s="41"/>
      <c r="K39" s="48">
        <f>10</f>
        <v>10</v>
      </c>
      <c r="L39" s="44"/>
      <c r="M39" s="49">
        <f>10</f>
        <v>10</v>
      </c>
      <c r="N39" s="6"/>
      <c r="O39" s="6"/>
      <c r="P39" s="6"/>
      <c r="T39" s="36">
        <v>-10</v>
      </c>
      <c r="U39" s="40">
        <f>10+T39</f>
        <v>0</v>
      </c>
      <c r="W39" t="s">
        <v>56</v>
      </c>
      <c r="AC39" s="31"/>
      <c r="AD39" s="23">
        <f t="shared" si="1"/>
        <v>0</v>
      </c>
      <c r="AE39" s="23">
        <f>V39+AD39</f>
        <v>0</v>
      </c>
    </row>
    <row r="40" spans="1:31" ht="110.25" customHeight="1">
      <c r="A40" s="27"/>
      <c r="B40" s="71" t="s">
        <v>57</v>
      </c>
      <c r="C40" s="72" t="s">
        <v>14</v>
      </c>
      <c r="D40" s="72" t="s">
        <v>50</v>
      </c>
      <c r="E40" s="73" t="s">
        <v>58</v>
      </c>
      <c r="F40" s="55"/>
      <c r="G40" s="40">
        <f>G41</f>
        <v>400</v>
      </c>
      <c r="H40" s="41"/>
      <c r="I40" s="42">
        <f>I41</f>
        <v>400</v>
      </c>
      <c r="J40" s="41"/>
      <c r="K40" s="48">
        <f>K41</f>
        <v>400</v>
      </c>
      <c r="L40" s="44"/>
      <c r="M40" s="49">
        <f>M41</f>
        <v>400</v>
      </c>
      <c r="N40" s="6"/>
      <c r="O40" s="6"/>
      <c r="P40" s="6"/>
      <c r="T40" s="36">
        <f>T41</f>
        <v>78.3</v>
      </c>
      <c r="U40" s="40">
        <f>U41</f>
        <v>478.3</v>
      </c>
      <c r="AC40" s="31"/>
      <c r="AD40" s="23">
        <f t="shared" si="1"/>
        <v>478.3</v>
      </c>
      <c r="AE40" s="23">
        <f>AE41</f>
        <v>450</v>
      </c>
    </row>
    <row r="41" spans="1:31" ht="132.75" customHeight="1">
      <c r="A41" s="27"/>
      <c r="B41" s="50" t="s">
        <v>59</v>
      </c>
      <c r="C41" s="65" t="s">
        <v>14</v>
      </c>
      <c r="D41" s="65" t="s">
        <v>50</v>
      </c>
      <c r="E41" s="56" t="s">
        <v>60</v>
      </c>
      <c r="F41" s="55" t="s">
        <v>28</v>
      </c>
      <c r="G41" s="40">
        <v>400</v>
      </c>
      <c r="H41" s="41"/>
      <c r="I41" s="42">
        <v>400</v>
      </c>
      <c r="J41" s="41"/>
      <c r="K41" s="48">
        <v>400</v>
      </c>
      <c r="L41" s="44"/>
      <c r="M41" s="49">
        <v>400</v>
      </c>
      <c r="N41" s="6"/>
      <c r="O41" s="6"/>
      <c r="P41" s="6"/>
      <c r="T41" s="36">
        <f>78.3</f>
        <v>78.3</v>
      </c>
      <c r="U41" s="40">
        <f>M41+T41</f>
        <v>478.3</v>
      </c>
      <c r="W41" t="s">
        <v>61</v>
      </c>
      <c r="AC41" s="31"/>
      <c r="AD41" s="23">
        <f t="shared" si="1"/>
        <v>478.3</v>
      </c>
      <c r="AE41" s="23">
        <v>450</v>
      </c>
    </row>
    <row r="42" spans="1:31" s="75" customFormat="1" ht="110.25">
      <c r="A42" s="74"/>
      <c r="B42" s="20" t="s">
        <v>62</v>
      </c>
      <c r="C42" s="69" t="s">
        <v>14</v>
      </c>
      <c r="D42" s="69" t="s">
        <v>50</v>
      </c>
      <c r="E42" s="70" t="s">
        <v>16</v>
      </c>
      <c r="F42" s="55"/>
      <c r="G42" s="23">
        <f aca="true" t="shared" si="7" ref="G42:M42">G43+G45+G47</f>
        <v>14832</v>
      </c>
      <c r="H42" s="16">
        <f t="shared" si="7"/>
        <v>695.906</v>
      </c>
      <c r="I42" s="17">
        <f t="shared" si="7"/>
        <v>15527.905999999999</v>
      </c>
      <c r="J42" s="16">
        <f t="shared" si="7"/>
        <v>0</v>
      </c>
      <c r="K42" s="34">
        <f t="shared" si="7"/>
        <v>15527.905999999999</v>
      </c>
      <c r="L42" s="18">
        <f t="shared" si="7"/>
        <v>1673.9</v>
      </c>
      <c r="M42" s="35">
        <f t="shared" si="7"/>
        <v>17201.806</v>
      </c>
      <c r="N42" s="6"/>
      <c r="O42" s="6"/>
      <c r="P42" s="6"/>
      <c r="T42" s="58">
        <f>T43+T45+T47</f>
        <v>51.563370000000006</v>
      </c>
      <c r="U42" s="16">
        <f>M42+T42</f>
        <v>17253.36937</v>
      </c>
      <c r="AC42" s="76"/>
      <c r="AD42" s="16">
        <f t="shared" si="1"/>
        <v>17253.36937</v>
      </c>
      <c r="AE42" s="26">
        <f>AE43+AE45+AE47</f>
        <v>17192.82</v>
      </c>
    </row>
    <row r="43" spans="1:31" ht="38.25" customHeight="1">
      <c r="A43" s="27"/>
      <c r="B43" s="59" t="s">
        <v>63</v>
      </c>
      <c r="C43" s="55" t="s">
        <v>14</v>
      </c>
      <c r="D43" s="55" t="s">
        <v>50</v>
      </c>
      <c r="E43" s="56" t="s">
        <v>64</v>
      </c>
      <c r="F43" s="55"/>
      <c r="G43" s="40">
        <f aca="true" t="shared" si="8" ref="G43:M43">G44</f>
        <v>12307.4</v>
      </c>
      <c r="H43" s="41">
        <f t="shared" si="8"/>
        <v>687.206</v>
      </c>
      <c r="I43" s="42">
        <f t="shared" si="8"/>
        <v>12994.606</v>
      </c>
      <c r="J43" s="41">
        <f t="shared" si="8"/>
        <v>0</v>
      </c>
      <c r="K43" s="43">
        <f t="shared" si="8"/>
        <v>12994.606</v>
      </c>
      <c r="L43" s="44">
        <f t="shared" si="8"/>
        <v>1673.9</v>
      </c>
      <c r="M43" s="45">
        <f t="shared" si="8"/>
        <v>14668.506</v>
      </c>
      <c r="N43" s="6"/>
      <c r="O43" s="6"/>
      <c r="P43" s="6"/>
      <c r="T43" s="36"/>
      <c r="U43" s="46">
        <f>M43+T43</f>
        <v>14668.506</v>
      </c>
      <c r="AC43" s="31"/>
      <c r="AD43" s="32">
        <f t="shared" si="1"/>
        <v>14668.506</v>
      </c>
      <c r="AE43" s="26">
        <f>AE44</f>
        <v>14643.5</v>
      </c>
    </row>
    <row r="44" spans="1:31" ht="176.25" customHeight="1">
      <c r="A44" s="27"/>
      <c r="B44" s="59" t="s">
        <v>65</v>
      </c>
      <c r="C44" s="55" t="s">
        <v>14</v>
      </c>
      <c r="D44" s="55" t="s">
        <v>50</v>
      </c>
      <c r="E44" s="56" t="s">
        <v>66</v>
      </c>
      <c r="F44" s="55" t="s">
        <v>23</v>
      </c>
      <c r="G44" s="40">
        <v>12307.4</v>
      </c>
      <c r="H44" s="41">
        <v>687.206</v>
      </c>
      <c r="I44" s="42">
        <f>12307.4+687.206</f>
        <v>12994.606</v>
      </c>
      <c r="J44" s="41">
        <v>0</v>
      </c>
      <c r="K44" s="43">
        <f>12307.4+687.206</f>
        <v>12994.606</v>
      </c>
      <c r="L44" s="44">
        <f>0+156.4+47.3+1233+237.2</f>
        <v>1673.9</v>
      </c>
      <c r="M44" s="45">
        <f>K44+L44</f>
        <v>14668.506</v>
      </c>
      <c r="N44" s="6"/>
      <c r="O44" s="6"/>
      <c r="P44" s="6"/>
      <c r="T44" s="36"/>
      <c r="U44" s="46">
        <v>14668.506</v>
      </c>
      <c r="AC44" s="31"/>
      <c r="AD44" s="32">
        <f t="shared" si="1"/>
        <v>14668.506</v>
      </c>
      <c r="AE44" s="26">
        <v>14643.5</v>
      </c>
    </row>
    <row r="45" spans="1:31" ht="66.75" customHeight="1">
      <c r="A45" s="27"/>
      <c r="B45" s="59" t="s">
        <v>67</v>
      </c>
      <c r="C45" s="55" t="s">
        <v>14</v>
      </c>
      <c r="D45" s="55" t="s">
        <v>50</v>
      </c>
      <c r="E45" s="56" t="s">
        <v>68</v>
      </c>
      <c r="F45" s="55"/>
      <c r="G45" s="40">
        <f aca="true" t="shared" si="9" ref="G45:M45">G46</f>
        <v>2500.3</v>
      </c>
      <c r="H45" s="41">
        <f t="shared" si="9"/>
        <v>-38.22</v>
      </c>
      <c r="I45" s="42">
        <f t="shared" si="9"/>
        <v>2462.0800000000004</v>
      </c>
      <c r="J45" s="41">
        <f t="shared" si="9"/>
        <v>0</v>
      </c>
      <c r="K45" s="48">
        <f t="shared" si="9"/>
        <v>2462.0800000000004</v>
      </c>
      <c r="L45" s="44">
        <f t="shared" si="9"/>
        <v>0</v>
      </c>
      <c r="M45" s="49">
        <f t="shared" si="9"/>
        <v>2462.0800000000004</v>
      </c>
      <c r="N45" s="6"/>
      <c r="O45" s="6"/>
      <c r="P45" s="6"/>
      <c r="T45" s="58">
        <f>T46</f>
        <v>51.563370000000006</v>
      </c>
      <c r="U45" s="41">
        <f>U46</f>
        <v>2513.6433700000002</v>
      </c>
      <c r="AC45" s="31"/>
      <c r="AD45" s="16">
        <f t="shared" si="1"/>
        <v>2513.6433700000002</v>
      </c>
      <c r="AE45" s="26">
        <f>AE46</f>
        <v>2478.1</v>
      </c>
    </row>
    <row r="46" spans="1:31" ht="99" customHeight="1">
      <c r="A46" s="27"/>
      <c r="B46" s="77" t="s">
        <v>69</v>
      </c>
      <c r="C46" s="55" t="s">
        <v>14</v>
      </c>
      <c r="D46" s="55" t="s">
        <v>50</v>
      </c>
      <c r="E46" s="56" t="s">
        <v>70</v>
      </c>
      <c r="F46" s="55" t="s">
        <v>28</v>
      </c>
      <c r="G46" s="40">
        <f>2170.3+330</f>
        <v>2500.3</v>
      </c>
      <c r="H46" s="41">
        <v>-38.22</v>
      </c>
      <c r="I46" s="42">
        <f>2170.3+330-38.22</f>
        <v>2462.0800000000004</v>
      </c>
      <c r="J46" s="41">
        <v>0</v>
      </c>
      <c r="K46" s="48">
        <f>2170.3+330-38.22</f>
        <v>2462.0800000000004</v>
      </c>
      <c r="L46" s="44">
        <v>0</v>
      </c>
      <c r="M46" s="49">
        <f>2170.3+330-38.22</f>
        <v>2462.0800000000004</v>
      </c>
      <c r="N46" s="6"/>
      <c r="O46" s="6"/>
      <c r="P46" s="6"/>
      <c r="T46" s="58">
        <f>41.00589+7.279+3.27848</f>
        <v>51.563370000000006</v>
      </c>
      <c r="U46" s="41">
        <f>M46+T46</f>
        <v>2513.6433700000002</v>
      </c>
      <c r="W46" t="s">
        <v>71</v>
      </c>
      <c r="AC46" s="31"/>
      <c r="AD46" s="16">
        <f t="shared" si="1"/>
        <v>2513.6433700000002</v>
      </c>
      <c r="AE46" s="26">
        <v>2478.1</v>
      </c>
    </row>
    <row r="47" spans="1:31" ht="54" customHeight="1">
      <c r="A47" s="27"/>
      <c r="B47" s="77" t="s">
        <v>72</v>
      </c>
      <c r="C47" s="55" t="s">
        <v>14</v>
      </c>
      <c r="D47" s="55" t="s">
        <v>50</v>
      </c>
      <c r="E47" s="56" t="s">
        <v>73</v>
      </c>
      <c r="F47" s="55"/>
      <c r="G47" s="40">
        <f aca="true" t="shared" si="10" ref="G47:M47">G48</f>
        <v>24.3</v>
      </c>
      <c r="H47" s="41">
        <f t="shared" si="10"/>
        <v>46.92</v>
      </c>
      <c r="I47" s="42">
        <f t="shared" si="10"/>
        <v>71.22</v>
      </c>
      <c r="J47" s="41">
        <f t="shared" si="10"/>
        <v>0</v>
      </c>
      <c r="K47" s="48">
        <f t="shared" si="10"/>
        <v>71.22</v>
      </c>
      <c r="L47" s="44">
        <f t="shared" si="10"/>
        <v>0</v>
      </c>
      <c r="M47" s="49">
        <f t="shared" si="10"/>
        <v>71.22</v>
      </c>
      <c r="N47" s="6"/>
      <c r="O47" s="6"/>
      <c r="P47" s="6"/>
      <c r="T47" s="36"/>
      <c r="U47" s="40">
        <f>U48</f>
        <v>71.22</v>
      </c>
      <c r="AC47" s="31"/>
      <c r="AD47" s="23">
        <f t="shared" si="1"/>
        <v>71.22</v>
      </c>
      <c r="AE47" s="26">
        <f>V47+AD47</f>
        <v>71.22</v>
      </c>
    </row>
    <row r="48" spans="1:31" ht="53.25" customHeight="1">
      <c r="A48" s="27"/>
      <c r="B48" s="77" t="s">
        <v>74</v>
      </c>
      <c r="C48" s="55" t="s">
        <v>14</v>
      </c>
      <c r="D48" s="55" t="s">
        <v>50</v>
      </c>
      <c r="E48" s="56" t="s">
        <v>75</v>
      </c>
      <c r="F48" s="55" t="s">
        <v>42</v>
      </c>
      <c r="G48" s="40">
        <v>24.3</v>
      </c>
      <c r="H48" s="41">
        <f>38.22+8.7</f>
        <v>46.92</v>
      </c>
      <c r="I48" s="42">
        <f>24.3+H48</f>
        <v>71.22</v>
      </c>
      <c r="J48" s="41">
        <v>0</v>
      </c>
      <c r="K48" s="48">
        <f>71.22</f>
        <v>71.22</v>
      </c>
      <c r="L48" s="44">
        <v>0</v>
      </c>
      <c r="M48" s="49">
        <f>71.22</f>
        <v>71.22</v>
      </c>
      <c r="N48" s="6"/>
      <c r="O48" s="6"/>
      <c r="P48" s="6"/>
      <c r="T48" s="36"/>
      <c r="U48" s="40">
        <f>71.22</f>
        <v>71.22</v>
      </c>
      <c r="AC48" s="31"/>
      <c r="AD48" s="23">
        <f t="shared" si="1"/>
        <v>71.22</v>
      </c>
      <c r="AE48" s="26">
        <f>V48+AD48</f>
        <v>71.22</v>
      </c>
    </row>
    <row r="49" spans="1:31" ht="101.25" customHeight="1">
      <c r="A49" s="27"/>
      <c r="B49" s="20" t="s">
        <v>76</v>
      </c>
      <c r="C49" s="69" t="s">
        <v>14</v>
      </c>
      <c r="D49" s="69" t="s">
        <v>50</v>
      </c>
      <c r="E49" s="70" t="s">
        <v>25</v>
      </c>
      <c r="F49" s="55"/>
      <c r="G49" s="23">
        <f aca="true" t="shared" si="11" ref="G49:M50">G50</f>
        <v>1294</v>
      </c>
      <c r="H49" s="16">
        <f t="shared" si="11"/>
        <v>239.2</v>
      </c>
      <c r="I49" s="17">
        <f t="shared" si="11"/>
        <v>1533.2</v>
      </c>
      <c r="J49" s="16">
        <f t="shared" si="11"/>
        <v>0</v>
      </c>
      <c r="K49" s="29">
        <f t="shared" si="11"/>
        <v>1533.2</v>
      </c>
      <c r="L49" s="18">
        <f t="shared" si="11"/>
        <v>580</v>
      </c>
      <c r="M49" s="30">
        <f t="shared" si="11"/>
        <v>2113.2</v>
      </c>
      <c r="N49" s="6"/>
      <c r="O49" s="6"/>
      <c r="P49" s="6"/>
      <c r="T49" s="78">
        <f>T50</f>
        <v>-51.563370000000006</v>
      </c>
      <c r="U49" s="16">
        <f>U50</f>
        <v>2061.63663</v>
      </c>
      <c r="AC49" s="31"/>
      <c r="AD49" s="16">
        <f t="shared" si="1"/>
        <v>2061.63663</v>
      </c>
      <c r="AE49" s="26">
        <f>AE50</f>
        <v>1999.2</v>
      </c>
    </row>
    <row r="50" spans="1:31" ht="40.5" customHeight="1">
      <c r="A50" s="27"/>
      <c r="B50" s="77" t="s">
        <v>77</v>
      </c>
      <c r="C50" s="55" t="s">
        <v>14</v>
      </c>
      <c r="D50" s="55" t="s">
        <v>50</v>
      </c>
      <c r="E50" s="56" t="s">
        <v>78</v>
      </c>
      <c r="F50" s="55"/>
      <c r="G50" s="40">
        <f t="shared" si="11"/>
        <v>1294</v>
      </c>
      <c r="H50" s="41">
        <f t="shared" si="11"/>
        <v>239.2</v>
      </c>
      <c r="I50" s="42">
        <f t="shared" si="11"/>
        <v>1533.2</v>
      </c>
      <c r="J50" s="41">
        <f t="shared" si="11"/>
        <v>0</v>
      </c>
      <c r="K50" s="48">
        <f t="shared" si="11"/>
        <v>1533.2</v>
      </c>
      <c r="L50" s="44">
        <f t="shared" si="11"/>
        <v>580</v>
      </c>
      <c r="M50" s="49">
        <f t="shared" si="11"/>
        <v>2113.2</v>
      </c>
      <c r="N50" s="6"/>
      <c r="O50" s="6"/>
      <c r="P50" s="6"/>
      <c r="T50" s="58">
        <f>T51</f>
        <v>-51.563370000000006</v>
      </c>
      <c r="U50" s="41">
        <f>U51</f>
        <v>2061.63663</v>
      </c>
      <c r="AC50" s="31"/>
      <c r="AD50" s="16">
        <f t="shared" si="1"/>
        <v>2061.63663</v>
      </c>
      <c r="AE50" s="26">
        <f>AE51</f>
        <v>1999.2</v>
      </c>
    </row>
    <row r="51" spans="1:31" ht="82.5" customHeight="1">
      <c r="A51" s="27"/>
      <c r="B51" s="77" t="s">
        <v>79</v>
      </c>
      <c r="C51" s="55" t="s">
        <v>14</v>
      </c>
      <c r="D51" s="55" t="s">
        <v>50</v>
      </c>
      <c r="E51" s="56" t="s">
        <v>80</v>
      </c>
      <c r="F51" s="55" t="s">
        <v>28</v>
      </c>
      <c r="G51" s="40">
        <v>1294</v>
      </c>
      <c r="H51" s="41">
        <f>9.2+230</f>
        <v>239.2</v>
      </c>
      <c r="I51" s="42">
        <f>1294+9.2+230</f>
        <v>1533.2</v>
      </c>
      <c r="J51" s="41">
        <v>0</v>
      </c>
      <c r="K51" s="48">
        <f>1294+9.2+230</f>
        <v>1533.2</v>
      </c>
      <c r="L51" s="44">
        <f>580</f>
        <v>580</v>
      </c>
      <c r="M51" s="49">
        <f>1294+9.2+230+580</f>
        <v>2113.2</v>
      </c>
      <c r="N51" s="6" t="s">
        <v>81</v>
      </c>
      <c r="O51" s="6"/>
      <c r="P51" s="6"/>
      <c r="T51" s="58">
        <f>-41.00589-7.279-3.27848</f>
        <v>-51.563370000000006</v>
      </c>
      <c r="U51" s="41">
        <f>M51+T51</f>
        <v>2061.63663</v>
      </c>
      <c r="W51" t="s">
        <v>82</v>
      </c>
      <c r="AC51" s="31"/>
      <c r="AD51" s="16">
        <f t="shared" si="1"/>
        <v>2061.63663</v>
      </c>
      <c r="AE51" s="26">
        <v>1999.2</v>
      </c>
    </row>
    <row r="52" spans="1:31" ht="21.75" customHeight="1">
      <c r="A52" s="27"/>
      <c r="B52" s="79" t="s">
        <v>17</v>
      </c>
      <c r="C52" s="80" t="s">
        <v>14</v>
      </c>
      <c r="D52" s="80" t="s">
        <v>50</v>
      </c>
      <c r="E52" s="81" t="s">
        <v>18</v>
      </c>
      <c r="F52" s="82"/>
      <c r="G52" s="23">
        <f aca="true" t="shared" si="12" ref="G52:M53">G53</f>
        <v>13</v>
      </c>
      <c r="H52" s="16">
        <f t="shared" si="12"/>
        <v>0</v>
      </c>
      <c r="I52" s="17">
        <f t="shared" si="12"/>
        <v>13</v>
      </c>
      <c r="J52" s="16">
        <f t="shared" si="12"/>
        <v>0</v>
      </c>
      <c r="K52" s="29">
        <f t="shared" si="12"/>
        <v>13</v>
      </c>
      <c r="L52" s="18">
        <f t="shared" si="12"/>
        <v>0</v>
      </c>
      <c r="M52" s="30">
        <f t="shared" si="12"/>
        <v>13</v>
      </c>
      <c r="N52" s="6"/>
      <c r="O52" s="6"/>
      <c r="P52" s="6"/>
      <c r="T52" s="83">
        <f>T53</f>
        <v>-0.246</v>
      </c>
      <c r="U52" s="32">
        <f>U53</f>
        <v>12.754</v>
      </c>
      <c r="AC52" s="31"/>
      <c r="AD52" s="32">
        <f t="shared" si="1"/>
        <v>12.754</v>
      </c>
      <c r="AE52" s="26">
        <f aca="true" t="shared" si="13" ref="AE52:AE60">V52+AD52</f>
        <v>12.754</v>
      </c>
    </row>
    <row r="53" spans="1:31" ht="24.75" customHeight="1">
      <c r="A53" s="27"/>
      <c r="B53" s="59" t="s">
        <v>45</v>
      </c>
      <c r="C53" s="84" t="s">
        <v>14</v>
      </c>
      <c r="D53" s="84" t="s">
        <v>50</v>
      </c>
      <c r="E53" s="85" t="s">
        <v>33</v>
      </c>
      <c r="F53" s="86"/>
      <c r="G53" s="40">
        <f t="shared" si="12"/>
        <v>13</v>
      </c>
      <c r="H53" s="41">
        <f t="shared" si="12"/>
        <v>0</v>
      </c>
      <c r="I53" s="42">
        <f t="shared" si="12"/>
        <v>13</v>
      </c>
      <c r="J53" s="41">
        <f t="shared" si="12"/>
        <v>0</v>
      </c>
      <c r="K53" s="48">
        <f t="shared" si="12"/>
        <v>13</v>
      </c>
      <c r="L53" s="44">
        <f t="shared" si="12"/>
        <v>0</v>
      </c>
      <c r="M53" s="49">
        <f t="shared" si="12"/>
        <v>13</v>
      </c>
      <c r="N53" s="6"/>
      <c r="O53" s="6"/>
      <c r="P53" s="6"/>
      <c r="T53" s="67">
        <f>T54</f>
        <v>-0.246</v>
      </c>
      <c r="U53" s="46">
        <f>U54</f>
        <v>12.754</v>
      </c>
      <c r="AC53" s="31"/>
      <c r="AD53" s="32">
        <f t="shared" si="1"/>
        <v>12.754</v>
      </c>
      <c r="AE53" s="26">
        <f t="shared" si="13"/>
        <v>12.754</v>
      </c>
    </row>
    <row r="54" spans="1:31" ht="34.5" customHeight="1">
      <c r="A54" s="27"/>
      <c r="B54" s="47" t="s">
        <v>83</v>
      </c>
      <c r="C54" s="65" t="s">
        <v>14</v>
      </c>
      <c r="D54" s="65" t="s">
        <v>50</v>
      </c>
      <c r="E54" s="87" t="s">
        <v>84</v>
      </c>
      <c r="F54" s="55" t="s">
        <v>42</v>
      </c>
      <c r="G54" s="40">
        <f>13</f>
        <v>13</v>
      </c>
      <c r="H54" s="41">
        <v>0</v>
      </c>
      <c r="I54" s="42">
        <f>13</f>
        <v>13</v>
      </c>
      <c r="J54" s="41">
        <v>0</v>
      </c>
      <c r="K54" s="48">
        <f>13</f>
        <v>13</v>
      </c>
      <c r="L54" s="44">
        <v>0</v>
      </c>
      <c r="M54" s="49">
        <f>13</f>
        <v>13</v>
      </c>
      <c r="N54" s="6"/>
      <c r="O54" s="6"/>
      <c r="P54" s="6"/>
      <c r="T54" s="67">
        <v>-0.246</v>
      </c>
      <c r="U54" s="46">
        <f>13+T54</f>
        <v>12.754</v>
      </c>
      <c r="W54" t="s">
        <v>85</v>
      </c>
      <c r="AC54" s="31"/>
      <c r="AD54" s="32">
        <f t="shared" si="1"/>
        <v>12.754</v>
      </c>
      <c r="AE54" s="26">
        <f t="shared" si="13"/>
        <v>12.754</v>
      </c>
    </row>
    <row r="55" spans="1:31" ht="15" customHeight="1">
      <c r="A55" s="27"/>
      <c r="B55" s="20" t="s">
        <v>86</v>
      </c>
      <c r="C55" s="69" t="s">
        <v>16</v>
      </c>
      <c r="D55" s="69"/>
      <c r="E55" s="56"/>
      <c r="F55" s="55"/>
      <c r="G55" s="23">
        <f>G56</f>
        <v>719</v>
      </c>
      <c r="H55" s="16"/>
      <c r="I55" s="17">
        <f>I56</f>
        <v>719</v>
      </c>
      <c r="J55" s="16"/>
      <c r="K55" s="29">
        <f>K56</f>
        <v>719</v>
      </c>
      <c r="L55" s="18">
        <f>L57</f>
        <v>40.5</v>
      </c>
      <c r="M55" s="30">
        <f>M56</f>
        <v>759.5</v>
      </c>
      <c r="N55" s="6"/>
      <c r="O55" s="6"/>
      <c r="P55" s="6"/>
      <c r="T55" s="36"/>
      <c r="U55" s="23">
        <f>U56</f>
        <v>759.5</v>
      </c>
      <c r="AC55" s="31"/>
      <c r="AD55" s="23">
        <f t="shared" si="1"/>
        <v>759.5</v>
      </c>
      <c r="AE55" s="26">
        <f t="shared" si="13"/>
        <v>759.5</v>
      </c>
    </row>
    <row r="56" spans="1:31" ht="17.25" customHeight="1">
      <c r="A56" s="27"/>
      <c r="B56" s="20" t="s">
        <v>87</v>
      </c>
      <c r="C56" s="69" t="s">
        <v>16</v>
      </c>
      <c r="D56" s="69" t="s">
        <v>25</v>
      </c>
      <c r="E56" s="70"/>
      <c r="F56" s="69"/>
      <c r="G56" s="23">
        <f>G57</f>
        <v>719</v>
      </c>
      <c r="H56" s="16"/>
      <c r="I56" s="17">
        <f>I57</f>
        <v>719</v>
      </c>
      <c r="J56" s="16">
        <f>J57</f>
        <v>0</v>
      </c>
      <c r="K56" s="29">
        <f>K57</f>
        <v>719</v>
      </c>
      <c r="L56" s="18">
        <f>L57</f>
        <v>40.5</v>
      </c>
      <c r="M56" s="30">
        <f>M57</f>
        <v>759.5</v>
      </c>
      <c r="N56" s="6"/>
      <c r="O56" s="6"/>
      <c r="P56" s="6"/>
      <c r="T56" s="36"/>
      <c r="U56" s="23">
        <f>U57</f>
        <v>759.5</v>
      </c>
      <c r="AC56" s="31"/>
      <c r="AD56" s="23">
        <f t="shared" si="1"/>
        <v>759.5</v>
      </c>
      <c r="AE56" s="26">
        <f t="shared" si="13"/>
        <v>759.5</v>
      </c>
    </row>
    <row r="57" spans="1:31" ht="18.75" customHeight="1">
      <c r="A57" s="27"/>
      <c r="B57" s="52" t="s">
        <v>17</v>
      </c>
      <c r="C57" s="55" t="s">
        <v>16</v>
      </c>
      <c r="D57" s="55" t="s">
        <v>25</v>
      </c>
      <c r="E57" s="56" t="s">
        <v>32</v>
      </c>
      <c r="F57" s="55"/>
      <c r="G57" s="40">
        <f>G58</f>
        <v>719</v>
      </c>
      <c r="H57" s="41"/>
      <c r="I57" s="42">
        <f>I58</f>
        <v>719</v>
      </c>
      <c r="J57" s="41"/>
      <c r="K57" s="48">
        <f>K58</f>
        <v>719</v>
      </c>
      <c r="L57" s="44">
        <f>L58</f>
        <v>40.5</v>
      </c>
      <c r="M57" s="49">
        <f>M58</f>
        <v>759.5</v>
      </c>
      <c r="N57" s="6"/>
      <c r="O57" s="6"/>
      <c r="P57" s="6"/>
      <c r="T57" s="36"/>
      <c r="U57" s="40">
        <f>U58</f>
        <v>759.5</v>
      </c>
      <c r="AC57" s="31"/>
      <c r="AD57" s="23">
        <f t="shared" si="1"/>
        <v>759.5</v>
      </c>
      <c r="AE57" s="26">
        <f t="shared" si="13"/>
        <v>759.5</v>
      </c>
    </row>
    <row r="58" spans="1:31" ht="20.25" customHeight="1">
      <c r="A58" s="27"/>
      <c r="B58" s="52" t="s">
        <v>19</v>
      </c>
      <c r="C58" s="55" t="s">
        <v>16</v>
      </c>
      <c r="D58" s="55" t="s">
        <v>25</v>
      </c>
      <c r="E58" s="56" t="s">
        <v>33</v>
      </c>
      <c r="F58" s="55"/>
      <c r="G58" s="40">
        <f>G59+G60</f>
        <v>719</v>
      </c>
      <c r="H58" s="41"/>
      <c r="I58" s="42">
        <f>I59+I60</f>
        <v>719</v>
      </c>
      <c r="J58" s="41"/>
      <c r="K58" s="48">
        <f>K59+K60</f>
        <v>719</v>
      </c>
      <c r="L58" s="44">
        <f>L59</f>
        <v>40.5</v>
      </c>
      <c r="M58" s="49">
        <f>M59+M60</f>
        <v>759.5</v>
      </c>
      <c r="N58" s="6"/>
      <c r="O58" s="6"/>
      <c r="P58" s="6"/>
      <c r="T58" s="36"/>
      <c r="U58" s="40">
        <f>U59+U60</f>
        <v>759.5</v>
      </c>
      <c r="AC58" s="31"/>
      <c r="AD58" s="23">
        <f t="shared" si="1"/>
        <v>759.5</v>
      </c>
      <c r="AE58" s="26">
        <f t="shared" si="13"/>
        <v>759.5</v>
      </c>
    </row>
    <row r="59" spans="1:31" ht="180" customHeight="1">
      <c r="A59" s="27"/>
      <c r="B59" s="37" t="s">
        <v>88</v>
      </c>
      <c r="C59" s="55" t="s">
        <v>16</v>
      </c>
      <c r="D59" s="55" t="s">
        <v>25</v>
      </c>
      <c r="E59" s="56" t="s">
        <v>89</v>
      </c>
      <c r="F59" s="55" t="s">
        <v>23</v>
      </c>
      <c r="G59" s="40">
        <v>638.3</v>
      </c>
      <c r="H59" s="41"/>
      <c r="I59" s="42">
        <v>638.3</v>
      </c>
      <c r="J59" s="41"/>
      <c r="K59" s="48">
        <v>638.3</v>
      </c>
      <c r="L59" s="44">
        <f>31.1+9.4</f>
        <v>40.5</v>
      </c>
      <c r="M59" s="49">
        <f>638.3+31.1+9.4</f>
        <v>678.8</v>
      </c>
      <c r="N59" s="6"/>
      <c r="O59" s="6"/>
      <c r="P59" s="6"/>
      <c r="T59" s="36"/>
      <c r="U59" s="40">
        <f>638.3+31.1+9.4</f>
        <v>678.8</v>
      </c>
      <c r="AC59" s="31"/>
      <c r="AD59" s="23">
        <f t="shared" si="1"/>
        <v>678.8</v>
      </c>
      <c r="AE59" s="26">
        <f t="shared" si="13"/>
        <v>678.8</v>
      </c>
    </row>
    <row r="60" spans="1:31" ht="115.5" customHeight="1">
      <c r="A60" s="27"/>
      <c r="B60" s="37" t="s">
        <v>90</v>
      </c>
      <c r="C60" s="55" t="s">
        <v>16</v>
      </c>
      <c r="D60" s="55" t="s">
        <v>25</v>
      </c>
      <c r="E60" s="56" t="s">
        <v>89</v>
      </c>
      <c r="F60" s="55" t="s">
        <v>28</v>
      </c>
      <c r="G60" s="40">
        <v>80.7</v>
      </c>
      <c r="H60" s="41"/>
      <c r="I60" s="42">
        <v>80.7</v>
      </c>
      <c r="J60" s="41"/>
      <c r="K60" s="48">
        <v>80.7</v>
      </c>
      <c r="L60" s="44"/>
      <c r="M60" s="49">
        <v>80.7</v>
      </c>
      <c r="N60" s="6"/>
      <c r="O60" s="6"/>
      <c r="P60" s="6"/>
      <c r="T60" s="36"/>
      <c r="U60" s="40">
        <v>80.7</v>
      </c>
      <c r="AC60" s="31"/>
      <c r="AD60" s="23">
        <f t="shared" si="1"/>
        <v>80.7</v>
      </c>
      <c r="AE60" s="26">
        <f t="shared" si="13"/>
        <v>80.7</v>
      </c>
    </row>
    <row r="61" spans="1:31" ht="39" customHeight="1">
      <c r="A61" s="27"/>
      <c r="B61" s="20" t="s">
        <v>91</v>
      </c>
      <c r="C61" s="69" t="s">
        <v>25</v>
      </c>
      <c r="D61" s="69"/>
      <c r="E61" s="70"/>
      <c r="F61" s="69"/>
      <c r="G61" s="23">
        <f aca="true" t="shared" si="14" ref="G61:M61">G62+G69</f>
        <v>969.9</v>
      </c>
      <c r="H61" s="16">
        <f t="shared" si="14"/>
        <v>27.9</v>
      </c>
      <c r="I61" s="17">
        <f t="shared" si="14"/>
        <v>997.8</v>
      </c>
      <c r="J61" s="16">
        <f t="shared" si="14"/>
        <v>0</v>
      </c>
      <c r="K61" s="29">
        <f t="shared" si="14"/>
        <v>997.8</v>
      </c>
      <c r="L61" s="18">
        <f t="shared" si="14"/>
        <v>0</v>
      </c>
      <c r="M61" s="30">
        <f t="shared" si="14"/>
        <v>997.8</v>
      </c>
      <c r="N61" s="6"/>
      <c r="O61" s="6"/>
      <c r="P61" s="6"/>
      <c r="T61" s="36">
        <f>T62+T69</f>
        <v>-69.3</v>
      </c>
      <c r="U61" s="23">
        <f>U62+U69</f>
        <v>928.5</v>
      </c>
      <c r="AC61" s="31"/>
      <c r="AD61" s="23">
        <f t="shared" si="1"/>
        <v>928.5</v>
      </c>
      <c r="AE61" s="26">
        <v>928.5</v>
      </c>
    </row>
    <row r="62" spans="1:31" ht="66.75" customHeight="1">
      <c r="A62" s="27"/>
      <c r="B62" s="20" t="s">
        <v>92</v>
      </c>
      <c r="C62" s="69" t="s">
        <v>25</v>
      </c>
      <c r="D62" s="69" t="s">
        <v>93</v>
      </c>
      <c r="E62" s="70"/>
      <c r="F62" s="69"/>
      <c r="G62" s="23">
        <f aca="true" t="shared" si="15" ref="G62:M62">G63+G66</f>
        <v>959.9</v>
      </c>
      <c r="H62" s="16">
        <f t="shared" si="15"/>
        <v>27.9</v>
      </c>
      <c r="I62" s="17">
        <f t="shared" si="15"/>
        <v>987.8</v>
      </c>
      <c r="J62" s="16">
        <f t="shared" si="15"/>
        <v>0</v>
      </c>
      <c r="K62" s="29">
        <f t="shared" si="15"/>
        <v>987.8</v>
      </c>
      <c r="L62" s="18">
        <f t="shared" si="15"/>
        <v>0</v>
      </c>
      <c r="M62" s="30">
        <f t="shared" si="15"/>
        <v>987.8</v>
      </c>
      <c r="N62" s="6"/>
      <c r="O62" s="6"/>
      <c r="P62" s="6"/>
      <c r="T62" s="36">
        <f>T63+T66</f>
        <v>-68.3</v>
      </c>
      <c r="U62" s="23">
        <f>U63+U66</f>
        <v>919.5</v>
      </c>
      <c r="AC62" s="31"/>
      <c r="AD62" s="23">
        <f t="shared" si="1"/>
        <v>919.5</v>
      </c>
      <c r="AE62" s="26">
        <f aca="true" t="shared" si="16" ref="AE62:AE72">V62+AD62</f>
        <v>919.5</v>
      </c>
    </row>
    <row r="63" spans="1:31" ht="84" customHeight="1" hidden="1">
      <c r="A63" s="27"/>
      <c r="B63" s="20" t="s">
        <v>94</v>
      </c>
      <c r="C63" s="69" t="s">
        <v>25</v>
      </c>
      <c r="D63" s="69" t="s">
        <v>93</v>
      </c>
      <c r="E63" s="70" t="s">
        <v>30</v>
      </c>
      <c r="F63" s="69"/>
      <c r="G63" s="23">
        <f>G64</f>
        <v>80.5</v>
      </c>
      <c r="H63" s="16"/>
      <c r="I63" s="17">
        <f>I64</f>
        <v>80.5</v>
      </c>
      <c r="J63" s="16"/>
      <c r="K63" s="29">
        <f aca="true" t="shared" si="17" ref="K63:M64">K64</f>
        <v>80.5</v>
      </c>
      <c r="L63" s="29">
        <f t="shared" si="17"/>
        <v>-12.2</v>
      </c>
      <c r="M63" s="30">
        <f t="shared" si="17"/>
        <v>68.3</v>
      </c>
      <c r="N63" s="6"/>
      <c r="O63" s="6"/>
      <c r="P63" s="6"/>
      <c r="T63" s="36">
        <f>T64</f>
        <v>-68.3</v>
      </c>
      <c r="U63" s="23">
        <f>U64</f>
        <v>0</v>
      </c>
      <c r="AC63" s="31"/>
      <c r="AD63" s="23">
        <f t="shared" si="1"/>
        <v>0</v>
      </c>
      <c r="AE63" s="26">
        <f t="shared" si="16"/>
        <v>0</v>
      </c>
    </row>
    <row r="64" spans="1:31" ht="35.25" customHeight="1" hidden="1">
      <c r="A64" s="27"/>
      <c r="B64" s="52" t="s">
        <v>95</v>
      </c>
      <c r="C64" s="55" t="s">
        <v>25</v>
      </c>
      <c r="D64" s="55" t="s">
        <v>93</v>
      </c>
      <c r="E64" s="56" t="s">
        <v>96</v>
      </c>
      <c r="F64" s="55"/>
      <c r="G64" s="40">
        <f>G65</f>
        <v>80.5</v>
      </c>
      <c r="H64" s="41"/>
      <c r="I64" s="42">
        <f>I65</f>
        <v>80.5</v>
      </c>
      <c r="J64" s="41"/>
      <c r="K64" s="48">
        <f t="shared" si="17"/>
        <v>80.5</v>
      </c>
      <c r="L64" s="48">
        <f t="shared" si="17"/>
        <v>-12.2</v>
      </c>
      <c r="M64" s="49">
        <f t="shared" si="17"/>
        <v>68.3</v>
      </c>
      <c r="N64" s="6"/>
      <c r="O64" s="6"/>
      <c r="P64" s="6"/>
      <c r="T64" s="36">
        <f>T65</f>
        <v>-68.3</v>
      </c>
      <c r="U64" s="40">
        <f>U65</f>
        <v>0</v>
      </c>
      <c r="AC64" s="31"/>
      <c r="AD64" s="23">
        <f t="shared" si="1"/>
        <v>0</v>
      </c>
      <c r="AE64" s="26">
        <f t="shared" si="16"/>
        <v>0</v>
      </c>
    </row>
    <row r="65" spans="1:31" ht="68.25" customHeight="1" hidden="1">
      <c r="A65" s="27"/>
      <c r="B65" s="37" t="s">
        <v>97</v>
      </c>
      <c r="C65" s="55" t="s">
        <v>25</v>
      </c>
      <c r="D65" s="55" t="s">
        <v>93</v>
      </c>
      <c r="E65" s="56" t="s">
        <v>98</v>
      </c>
      <c r="F65" s="55" t="s">
        <v>28</v>
      </c>
      <c r="G65" s="40">
        <v>80.5</v>
      </c>
      <c r="H65" s="41">
        <v>0</v>
      </c>
      <c r="I65" s="42">
        <v>80.5</v>
      </c>
      <c r="J65" s="41">
        <v>0</v>
      </c>
      <c r="K65" s="48">
        <v>80.5</v>
      </c>
      <c r="L65" s="48">
        <v>-12.2</v>
      </c>
      <c r="M65" s="49">
        <f>80.5-12.2</f>
        <v>68.3</v>
      </c>
      <c r="N65" s="6"/>
      <c r="O65" s="6"/>
      <c r="P65" s="6"/>
      <c r="T65" s="36">
        <f>-67.1-1.2</f>
        <v>-68.3</v>
      </c>
      <c r="U65" s="40">
        <f>80.5-12.2+T65</f>
        <v>0</v>
      </c>
      <c r="W65" t="s">
        <v>99</v>
      </c>
      <c r="AC65" s="31"/>
      <c r="AD65" s="23">
        <f t="shared" si="1"/>
        <v>0</v>
      </c>
      <c r="AE65" s="26">
        <f t="shared" si="16"/>
        <v>0</v>
      </c>
    </row>
    <row r="66" spans="1:31" ht="18.75" customHeight="1">
      <c r="A66" s="27"/>
      <c r="B66" s="52" t="s">
        <v>100</v>
      </c>
      <c r="C66" s="55" t="s">
        <v>25</v>
      </c>
      <c r="D66" s="55" t="s">
        <v>93</v>
      </c>
      <c r="E66" s="56" t="s">
        <v>18</v>
      </c>
      <c r="F66" s="55"/>
      <c r="G66" s="40">
        <f aca="true" t="shared" si="18" ref="G66:M67">G67</f>
        <v>879.4</v>
      </c>
      <c r="H66" s="41">
        <f t="shared" si="18"/>
        <v>27.9</v>
      </c>
      <c r="I66" s="42">
        <f t="shared" si="18"/>
        <v>907.3</v>
      </c>
      <c r="J66" s="41">
        <f t="shared" si="18"/>
        <v>0</v>
      </c>
      <c r="K66" s="48">
        <f t="shared" si="18"/>
        <v>907.3</v>
      </c>
      <c r="L66" s="48">
        <f t="shared" si="18"/>
        <v>12.2</v>
      </c>
      <c r="M66" s="49">
        <f t="shared" si="18"/>
        <v>919.5</v>
      </c>
      <c r="N66" s="6"/>
      <c r="O66" s="6"/>
      <c r="P66" s="6"/>
      <c r="T66" s="36">
        <v>0</v>
      </c>
      <c r="U66" s="40">
        <f>U67</f>
        <v>919.5</v>
      </c>
      <c r="AC66" s="31"/>
      <c r="AD66" s="23">
        <f t="shared" si="1"/>
        <v>919.5</v>
      </c>
      <c r="AE66" s="26">
        <f t="shared" si="16"/>
        <v>919.5</v>
      </c>
    </row>
    <row r="67" spans="1:31" ht="23.25" customHeight="1">
      <c r="A67" s="27"/>
      <c r="B67" s="52" t="s">
        <v>19</v>
      </c>
      <c r="C67" s="55" t="s">
        <v>25</v>
      </c>
      <c r="D67" s="55" t="s">
        <v>93</v>
      </c>
      <c r="E67" s="56" t="s">
        <v>33</v>
      </c>
      <c r="F67" s="55"/>
      <c r="G67" s="40">
        <f t="shared" si="18"/>
        <v>879.4</v>
      </c>
      <c r="H67" s="41">
        <f t="shared" si="18"/>
        <v>27.9</v>
      </c>
      <c r="I67" s="42">
        <f t="shared" si="18"/>
        <v>907.3</v>
      </c>
      <c r="J67" s="41">
        <f t="shared" si="18"/>
        <v>0</v>
      </c>
      <c r="K67" s="48">
        <f t="shared" si="18"/>
        <v>907.3</v>
      </c>
      <c r="L67" s="48">
        <f t="shared" si="18"/>
        <v>12.2</v>
      </c>
      <c r="M67" s="49">
        <f t="shared" si="18"/>
        <v>919.5</v>
      </c>
      <c r="N67" s="6"/>
      <c r="O67" s="6"/>
      <c r="P67" s="6"/>
      <c r="T67" s="36">
        <v>0</v>
      </c>
      <c r="U67" s="40">
        <f>U68</f>
        <v>919.5</v>
      </c>
      <c r="AC67" s="31"/>
      <c r="AD67" s="23">
        <f t="shared" si="1"/>
        <v>919.5</v>
      </c>
      <c r="AE67" s="26">
        <f t="shared" si="16"/>
        <v>919.5</v>
      </c>
    </row>
    <row r="68" spans="1:31" ht="85.5" customHeight="1">
      <c r="A68" s="27"/>
      <c r="B68" s="37" t="s">
        <v>101</v>
      </c>
      <c r="C68" s="55" t="s">
        <v>25</v>
      </c>
      <c r="D68" s="55" t="s">
        <v>93</v>
      </c>
      <c r="E68" s="88" t="s">
        <v>102</v>
      </c>
      <c r="F68" s="89" t="s">
        <v>103</v>
      </c>
      <c r="G68" s="40">
        <v>879.4</v>
      </c>
      <c r="H68" s="41">
        <v>27.9</v>
      </c>
      <c r="I68" s="42">
        <f>879.4+27.9</f>
        <v>907.3</v>
      </c>
      <c r="J68" s="41">
        <v>0</v>
      </c>
      <c r="K68" s="48">
        <f>879.4+27.9</f>
        <v>907.3</v>
      </c>
      <c r="L68" s="48">
        <f>0+12.2</f>
        <v>12.2</v>
      </c>
      <c r="M68" s="49">
        <f>879.4+27.9+12.2</f>
        <v>919.5</v>
      </c>
      <c r="N68" s="6"/>
      <c r="O68" s="6"/>
      <c r="P68" s="6"/>
      <c r="T68" s="36">
        <v>0</v>
      </c>
      <c r="U68" s="40">
        <f>879.4+27.9+12.2</f>
        <v>919.5</v>
      </c>
      <c r="AC68" s="31"/>
      <c r="AD68" s="23">
        <f t="shared" si="1"/>
        <v>919.5</v>
      </c>
      <c r="AE68" s="26">
        <f t="shared" si="16"/>
        <v>919.5</v>
      </c>
    </row>
    <row r="69" spans="1:31" ht="54.75" customHeight="1">
      <c r="A69" s="27"/>
      <c r="B69" s="51" t="s">
        <v>104</v>
      </c>
      <c r="C69" s="69" t="s">
        <v>25</v>
      </c>
      <c r="D69" s="69" t="s">
        <v>105</v>
      </c>
      <c r="E69" s="70"/>
      <c r="F69" s="69"/>
      <c r="G69" s="32">
        <f>G70</f>
        <v>10</v>
      </c>
      <c r="H69" s="16"/>
      <c r="I69" s="17">
        <f>I70</f>
        <v>10</v>
      </c>
      <c r="J69" s="16"/>
      <c r="K69" s="29">
        <f>K70</f>
        <v>10</v>
      </c>
      <c r="L69" s="18"/>
      <c r="M69" s="30">
        <f>M70</f>
        <v>10</v>
      </c>
      <c r="N69" s="6"/>
      <c r="O69" s="6"/>
      <c r="P69" s="6"/>
      <c r="T69" s="36">
        <f aca="true" t="shared" si="19" ref="T69:U71">T70</f>
        <v>-1</v>
      </c>
      <c r="U69" s="23">
        <f t="shared" si="19"/>
        <v>9</v>
      </c>
      <c r="AC69" s="31"/>
      <c r="AD69" s="23">
        <f t="shared" si="1"/>
        <v>9</v>
      </c>
      <c r="AE69" s="26">
        <f t="shared" si="16"/>
        <v>9</v>
      </c>
    </row>
    <row r="70" spans="1:31" ht="99.75" customHeight="1">
      <c r="A70" s="27"/>
      <c r="B70" s="90" t="s">
        <v>106</v>
      </c>
      <c r="C70" s="91" t="s">
        <v>25</v>
      </c>
      <c r="D70" s="91" t="s">
        <v>105</v>
      </c>
      <c r="E70" s="92" t="s">
        <v>107</v>
      </c>
      <c r="F70" s="69"/>
      <c r="G70" s="32">
        <f>G71</f>
        <v>10</v>
      </c>
      <c r="H70" s="16"/>
      <c r="I70" s="17">
        <f>I71</f>
        <v>10</v>
      </c>
      <c r="J70" s="16"/>
      <c r="K70" s="29">
        <f>K71</f>
        <v>10</v>
      </c>
      <c r="L70" s="18"/>
      <c r="M70" s="30">
        <f>M71</f>
        <v>10</v>
      </c>
      <c r="N70" s="6"/>
      <c r="O70" s="6"/>
      <c r="P70" s="6"/>
      <c r="T70" s="36">
        <f t="shared" si="19"/>
        <v>-1</v>
      </c>
      <c r="U70" s="23">
        <f t="shared" si="19"/>
        <v>9</v>
      </c>
      <c r="AC70" s="31"/>
      <c r="AD70" s="23">
        <f t="shared" si="1"/>
        <v>9</v>
      </c>
      <c r="AE70" s="26">
        <f t="shared" si="16"/>
        <v>9</v>
      </c>
    </row>
    <row r="71" spans="1:31" ht="67.5" customHeight="1">
      <c r="A71" s="27"/>
      <c r="B71" s="93" t="s">
        <v>108</v>
      </c>
      <c r="C71" s="60" t="s">
        <v>25</v>
      </c>
      <c r="D71" s="60" t="s">
        <v>105</v>
      </c>
      <c r="E71" s="61" t="s">
        <v>109</v>
      </c>
      <c r="F71" s="55"/>
      <c r="G71" s="46">
        <f>G72</f>
        <v>10</v>
      </c>
      <c r="H71" s="41"/>
      <c r="I71" s="42">
        <f>I72</f>
        <v>10</v>
      </c>
      <c r="J71" s="41"/>
      <c r="K71" s="48">
        <f>K72</f>
        <v>10</v>
      </c>
      <c r="L71" s="44"/>
      <c r="M71" s="49">
        <f>M72</f>
        <v>10</v>
      </c>
      <c r="N71" s="6"/>
      <c r="O71" s="6"/>
      <c r="P71" s="6"/>
      <c r="T71" s="36">
        <f t="shared" si="19"/>
        <v>-1</v>
      </c>
      <c r="U71" s="40">
        <f t="shared" si="19"/>
        <v>9</v>
      </c>
      <c r="AC71" s="31"/>
      <c r="AD71" s="23">
        <f t="shared" si="1"/>
        <v>9</v>
      </c>
      <c r="AE71" s="26">
        <f t="shared" si="16"/>
        <v>9</v>
      </c>
    </row>
    <row r="72" spans="1:31" ht="66.75" customHeight="1">
      <c r="A72" s="27"/>
      <c r="B72" s="93" t="s">
        <v>54</v>
      </c>
      <c r="C72" s="60" t="s">
        <v>25</v>
      </c>
      <c r="D72" s="60" t="s">
        <v>105</v>
      </c>
      <c r="E72" s="61" t="s">
        <v>110</v>
      </c>
      <c r="F72" s="55" t="s">
        <v>28</v>
      </c>
      <c r="G72" s="46">
        <v>10</v>
      </c>
      <c r="H72" s="41"/>
      <c r="I72" s="42">
        <v>10</v>
      </c>
      <c r="J72" s="41"/>
      <c r="K72" s="48">
        <v>10</v>
      </c>
      <c r="L72" s="44"/>
      <c r="M72" s="49">
        <v>10</v>
      </c>
      <c r="N72" s="6"/>
      <c r="O72" s="6"/>
      <c r="P72" s="6"/>
      <c r="T72" s="36">
        <v>-1</v>
      </c>
      <c r="U72" s="40">
        <f>10+T72</f>
        <v>9</v>
      </c>
      <c r="W72" t="s">
        <v>111</v>
      </c>
      <c r="AC72" s="31"/>
      <c r="AD72" s="23">
        <f t="shared" si="1"/>
        <v>9</v>
      </c>
      <c r="AE72" s="23">
        <f t="shared" si="16"/>
        <v>9</v>
      </c>
    </row>
    <row r="73" spans="1:31" ht="25.5" customHeight="1">
      <c r="A73" s="27"/>
      <c r="B73" s="51" t="s">
        <v>112</v>
      </c>
      <c r="C73" s="69" t="s">
        <v>30</v>
      </c>
      <c r="D73" s="69"/>
      <c r="E73" s="70"/>
      <c r="F73" s="69"/>
      <c r="G73" s="23">
        <f aca="true" t="shared" si="20" ref="G73:M73">G74+G78+G99</f>
        <v>15161.199999999999</v>
      </c>
      <c r="H73" s="16">
        <f t="shared" si="20"/>
        <v>7695.79191</v>
      </c>
      <c r="I73" s="16">
        <f t="shared" si="20"/>
        <v>22856.991909999997</v>
      </c>
      <c r="J73" s="16">
        <f t="shared" si="20"/>
        <v>3817.4000000000005</v>
      </c>
      <c r="K73" s="18">
        <f t="shared" si="20"/>
        <v>26674.39191</v>
      </c>
      <c r="L73" s="18">
        <f t="shared" si="20"/>
        <v>5432.302000000001</v>
      </c>
      <c r="M73" s="24">
        <f t="shared" si="20"/>
        <v>32106.69391</v>
      </c>
      <c r="N73" s="6"/>
      <c r="O73" s="6"/>
      <c r="P73" s="6"/>
      <c r="T73" s="58">
        <f>T78+T99</f>
        <v>-21.86833</v>
      </c>
      <c r="U73" s="16">
        <f>U74+U78+U99</f>
        <v>32084.825580000004</v>
      </c>
      <c r="AC73" s="31"/>
      <c r="AD73" s="16">
        <f t="shared" si="1"/>
        <v>32084.825580000004</v>
      </c>
      <c r="AE73" s="26">
        <v>31077.7</v>
      </c>
    </row>
    <row r="74" spans="1:31" ht="15" customHeight="1" hidden="1">
      <c r="A74" s="27"/>
      <c r="B74" s="94" t="s">
        <v>113</v>
      </c>
      <c r="C74" s="69" t="s">
        <v>30</v>
      </c>
      <c r="D74" s="69" t="s">
        <v>14</v>
      </c>
      <c r="E74" s="70"/>
      <c r="F74" s="69"/>
      <c r="G74" s="23">
        <f aca="true" t="shared" si="21" ref="G74:M76">G75</f>
        <v>930</v>
      </c>
      <c r="H74" s="16">
        <f t="shared" si="21"/>
        <v>0</v>
      </c>
      <c r="I74" s="17">
        <f t="shared" si="21"/>
        <v>930</v>
      </c>
      <c r="J74" s="16">
        <f t="shared" si="21"/>
        <v>-930</v>
      </c>
      <c r="K74" s="18">
        <f t="shared" si="21"/>
        <v>0</v>
      </c>
      <c r="L74" s="18">
        <f t="shared" si="21"/>
        <v>9.237055564881302E-14</v>
      </c>
      <c r="M74" s="24">
        <f t="shared" si="21"/>
        <v>9.237055564881302E-14</v>
      </c>
      <c r="N74" s="6"/>
      <c r="O74" s="6"/>
      <c r="P74" s="6"/>
      <c r="T74" s="58"/>
      <c r="U74" s="16">
        <f>U75</f>
        <v>0</v>
      </c>
      <c r="AC74" s="31"/>
      <c r="AD74" s="16">
        <f t="shared" si="1"/>
        <v>0</v>
      </c>
      <c r="AE74" s="16">
        <f>V74+AD74</f>
        <v>0</v>
      </c>
    </row>
    <row r="75" spans="1:31" ht="22.5" customHeight="1" hidden="1">
      <c r="A75" s="27"/>
      <c r="B75" s="37" t="s">
        <v>17</v>
      </c>
      <c r="C75" s="55" t="s">
        <v>30</v>
      </c>
      <c r="D75" s="55" t="s">
        <v>14</v>
      </c>
      <c r="E75" s="56" t="s">
        <v>18</v>
      </c>
      <c r="F75" s="69"/>
      <c r="G75" s="40">
        <f t="shared" si="21"/>
        <v>930</v>
      </c>
      <c r="H75" s="41">
        <f t="shared" si="21"/>
        <v>0</v>
      </c>
      <c r="I75" s="42">
        <f t="shared" si="21"/>
        <v>930</v>
      </c>
      <c r="J75" s="41">
        <f t="shared" si="21"/>
        <v>-930</v>
      </c>
      <c r="K75" s="44">
        <f t="shared" si="21"/>
        <v>0</v>
      </c>
      <c r="L75" s="44">
        <f t="shared" si="21"/>
        <v>9.237055564881302E-14</v>
      </c>
      <c r="M75" s="95">
        <f t="shared" si="21"/>
        <v>9.237055564881302E-14</v>
      </c>
      <c r="N75" s="6"/>
      <c r="O75" s="6"/>
      <c r="P75" s="6"/>
      <c r="T75" s="58"/>
      <c r="U75" s="41">
        <f>U76</f>
        <v>0</v>
      </c>
      <c r="AC75" s="31"/>
      <c r="AD75" s="16">
        <f t="shared" si="1"/>
        <v>0</v>
      </c>
      <c r="AE75" s="16">
        <f>V75+AD75</f>
        <v>0</v>
      </c>
    </row>
    <row r="76" spans="1:31" ht="25.5" customHeight="1" hidden="1">
      <c r="A76" s="27"/>
      <c r="B76" s="52" t="s">
        <v>19</v>
      </c>
      <c r="C76" s="55" t="s">
        <v>30</v>
      </c>
      <c r="D76" s="55" t="s">
        <v>14</v>
      </c>
      <c r="E76" s="56" t="s">
        <v>33</v>
      </c>
      <c r="F76" s="69"/>
      <c r="G76" s="40">
        <f t="shared" si="21"/>
        <v>930</v>
      </c>
      <c r="H76" s="41">
        <f t="shared" si="21"/>
        <v>0</v>
      </c>
      <c r="I76" s="42">
        <f t="shared" si="21"/>
        <v>930</v>
      </c>
      <c r="J76" s="41">
        <f t="shared" si="21"/>
        <v>-930</v>
      </c>
      <c r="K76" s="44">
        <f t="shared" si="21"/>
        <v>0</v>
      </c>
      <c r="L76" s="44">
        <f t="shared" si="21"/>
        <v>9.237055564881302E-14</v>
      </c>
      <c r="M76" s="95">
        <f t="shared" si="21"/>
        <v>9.237055564881302E-14</v>
      </c>
      <c r="N76" s="6"/>
      <c r="O76" s="6"/>
      <c r="P76" s="6"/>
      <c r="T76" s="58"/>
      <c r="U76" s="41">
        <f>U77</f>
        <v>0</v>
      </c>
      <c r="AC76" s="31"/>
      <c r="AD76" s="16">
        <f t="shared" si="1"/>
        <v>0</v>
      </c>
      <c r="AE76" s="16">
        <f>V76+AD76</f>
        <v>0</v>
      </c>
    </row>
    <row r="77" spans="1:31" ht="78.75" hidden="1">
      <c r="A77" s="27"/>
      <c r="B77" s="93" t="s">
        <v>114</v>
      </c>
      <c r="C77" s="55" t="s">
        <v>30</v>
      </c>
      <c r="D77" s="55" t="s">
        <v>14</v>
      </c>
      <c r="E77" s="56" t="s">
        <v>115</v>
      </c>
      <c r="F77" s="55" t="s">
        <v>42</v>
      </c>
      <c r="G77" s="40">
        <v>930</v>
      </c>
      <c r="H77" s="41">
        <f>-749.42356+331.94108-125.665-386.7+386.7+125.665+417.48248</f>
        <v>0</v>
      </c>
      <c r="I77" s="42">
        <f>G77+H77</f>
        <v>930</v>
      </c>
      <c r="J77" s="41">
        <v>-930</v>
      </c>
      <c r="K77" s="44">
        <f>I77+J77</f>
        <v>0</v>
      </c>
      <c r="L77" s="44">
        <f>2820.9-1070-1220-500-30.9</f>
        <v>9.237055564881302E-14</v>
      </c>
      <c r="M77" s="95">
        <f>K77+L77</f>
        <v>9.237055564881302E-14</v>
      </c>
      <c r="N77" s="6">
        <f>-1220-500-30.9</f>
        <v>-1750.9</v>
      </c>
      <c r="O77" s="6"/>
      <c r="P77" s="6"/>
      <c r="T77" s="58"/>
      <c r="U77" s="41">
        <f>S77+T77</f>
        <v>0</v>
      </c>
      <c r="AC77" s="31"/>
      <c r="AD77" s="16">
        <f t="shared" si="1"/>
        <v>0</v>
      </c>
      <c r="AE77" s="16">
        <f>V77+AD77</f>
        <v>0</v>
      </c>
    </row>
    <row r="78" spans="1:31" ht="36.75" customHeight="1">
      <c r="A78" s="27"/>
      <c r="B78" s="51" t="s">
        <v>116</v>
      </c>
      <c r="C78" s="69" t="s">
        <v>30</v>
      </c>
      <c r="D78" s="69" t="s">
        <v>117</v>
      </c>
      <c r="E78" s="70"/>
      <c r="F78" s="69"/>
      <c r="G78" s="23">
        <f aca="true" t="shared" si="22" ref="G78:M78">G79+G96</f>
        <v>12419.4</v>
      </c>
      <c r="H78" s="16">
        <f t="shared" si="22"/>
        <v>7652.16791</v>
      </c>
      <c r="I78" s="17">
        <f t="shared" si="22"/>
        <v>20071.567909999998</v>
      </c>
      <c r="J78" s="16">
        <f t="shared" si="22"/>
        <v>4577.400000000001</v>
      </c>
      <c r="K78" s="18">
        <f t="shared" si="22"/>
        <v>24648.96791</v>
      </c>
      <c r="L78" s="18">
        <f t="shared" si="22"/>
        <v>5407.802000000001</v>
      </c>
      <c r="M78" s="24">
        <f t="shared" si="22"/>
        <v>30056.769910000003</v>
      </c>
      <c r="N78" s="6"/>
      <c r="O78" s="6"/>
      <c r="P78" s="6"/>
      <c r="T78" s="36">
        <f>T79+T96</f>
        <v>0</v>
      </c>
      <c r="U78" s="16">
        <f>U79+U96</f>
        <v>30056.769910000003</v>
      </c>
      <c r="AC78" s="31"/>
      <c r="AD78" s="16">
        <f t="shared" si="1"/>
        <v>30056.769910000003</v>
      </c>
      <c r="AE78" s="26">
        <f>AE79+AE96</f>
        <v>29068.836910000005</v>
      </c>
    </row>
    <row r="79" spans="1:31" ht="86.25" customHeight="1">
      <c r="A79" s="27"/>
      <c r="B79" s="51" t="s">
        <v>118</v>
      </c>
      <c r="C79" s="69" t="s">
        <v>30</v>
      </c>
      <c r="D79" s="69" t="s">
        <v>117</v>
      </c>
      <c r="E79" s="70" t="s">
        <v>119</v>
      </c>
      <c r="F79" s="69"/>
      <c r="G79" s="23">
        <f>G80+G85+G90+G92+G94</f>
        <v>12119.4</v>
      </c>
      <c r="H79" s="16">
        <f>H80+H85+H90+H92+H94</f>
        <v>7652.16791</v>
      </c>
      <c r="I79" s="17">
        <f>G79+H79</f>
        <v>19771.567909999998</v>
      </c>
      <c r="J79" s="16">
        <f>J80+J85+J90+J92+J94</f>
        <v>4577.400000000001</v>
      </c>
      <c r="K79" s="18">
        <f>I79+J79</f>
        <v>24348.96791</v>
      </c>
      <c r="L79" s="18">
        <f>L80+L85+L90+L92+L94</f>
        <v>5197.832</v>
      </c>
      <c r="M79" s="24">
        <f>K79+L79</f>
        <v>29546.79991</v>
      </c>
      <c r="N79" s="6"/>
      <c r="O79" s="6"/>
      <c r="P79" s="6"/>
      <c r="T79" s="36">
        <f>T80+T85+T90+T92+T94</f>
        <v>0</v>
      </c>
      <c r="U79" s="16">
        <f>M79+T79</f>
        <v>29546.79991</v>
      </c>
      <c r="AC79" s="31"/>
      <c r="AD79" s="16">
        <f t="shared" si="1"/>
        <v>29546.79991</v>
      </c>
      <c r="AE79" s="26">
        <f>AE80+AE85+AE90+AE92+AE94</f>
        <v>28558.866910000004</v>
      </c>
    </row>
    <row r="80" spans="1:31" ht="82.5" customHeight="1">
      <c r="A80" s="27"/>
      <c r="B80" s="37" t="s">
        <v>120</v>
      </c>
      <c r="C80" s="55" t="s">
        <v>30</v>
      </c>
      <c r="D80" s="55" t="s">
        <v>117</v>
      </c>
      <c r="E80" s="56" t="s">
        <v>121</v>
      </c>
      <c r="F80" s="55"/>
      <c r="G80" s="40">
        <f>G81+G82</f>
        <v>3401.3</v>
      </c>
      <c r="H80" s="41">
        <f>H81+H82</f>
        <v>7533.2679100000005</v>
      </c>
      <c r="I80" s="17">
        <f>G80+H80</f>
        <v>10934.567910000002</v>
      </c>
      <c r="J80" s="41">
        <f>J82+J84</f>
        <v>4491.3</v>
      </c>
      <c r="K80" s="18">
        <f>K82+K84</f>
        <v>15425.86791</v>
      </c>
      <c r="L80" s="44">
        <f>L82+L84</f>
        <v>4324.777</v>
      </c>
      <c r="M80" s="24">
        <f>M82+M84</f>
        <v>19750.644910000003</v>
      </c>
      <c r="N80" s="6"/>
      <c r="O80" s="6"/>
      <c r="P80" s="6"/>
      <c r="T80" s="36"/>
      <c r="U80" s="16">
        <f>M80</f>
        <v>19750.644910000003</v>
      </c>
      <c r="AC80" s="31"/>
      <c r="AD80" s="16">
        <f t="shared" si="1"/>
        <v>19750.644910000003</v>
      </c>
      <c r="AE80" s="26">
        <f>AE82+AE84</f>
        <v>18906.767910000002</v>
      </c>
    </row>
    <row r="81" spans="1:31" ht="94.5" hidden="1">
      <c r="A81" s="27"/>
      <c r="B81" s="50" t="s">
        <v>122</v>
      </c>
      <c r="C81" s="65" t="s">
        <v>30</v>
      </c>
      <c r="D81" s="65" t="s">
        <v>117</v>
      </c>
      <c r="E81" s="56" t="s">
        <v>123</v>
      </c>
      <c r="F81" s="55" t="s">
        <v>28</v>
      </c>
      <c r="G81" s="40">
        <v>0</v>
      </c>
      <c r="H81" s="41"/>
      <c r="I81" s="42">
        <v>0</v>
      </c>
      <c r="J81" s="41"/>
      <c r="K81" s="44">
        <v>0</v>
      </c>
      <c r="L81" s="44"/>
      <c r="M81" s="95">
        <v>0</v>
      </c>
      <c r="N81" s="6"/>
      <c r="O81" s="6"/>
      <c r="P81" s="6"/>
      <c r="T81" s="36"/>
      <c r="U81" s="41">
        <v>0</v>
      </c>
      <c r="AC81" s="31"/>
      <c r="AD81" s="16">
        <f t="shared" si="1"/>
        <v>0</v>
      </c>
      <c r="AE81" s="16">
        <f>V81+AD81</f>
        <v>0</v>
      </c>
    </row>
    <row r="82" spans="1:31" ht="131.25" customHeight="1">
      <c r="A82" s="27"/>
      <c r="B82" s="59" t="s">
        <v>124</v>
      </c>
      <c r="C82" s="96" t="s">
        <v>30</v>
      </c>
      <c r="D82" s="55" t="s">
        <v>117</v>
      </c>
      <c r="E82" s="56" t="s">
        <v>125</v>
      </c>
      <c r="F82" s="55" t="s">
        <v>28</v>
      </c>
      <c r="G82" s="40">
        <f>2755+646.3+500-500</f>
        <v>3401.3</v>
      </c>
      <c r="H82" s="41">
        <f>6102+1431.26791</f>
        <v>7533.2679100000005</v>
      </c>
      <c r="I82" s="17">
        <f>G82+H82</f>
        <v>10934.567910000002</v>
      </c>
      <c r="J82" s="41">
        <v>0</v>
      </c>
      <c r="K82" s="18">
        <f>I82+J82</f>
        <v>10934.567910000002</v>
      </c>
      <c r="L82" s="44">
        <v>0</v>
      </c>
      <c r="M82" s="24">
        <f>K82+L82</f>
        <v>10934.567910000002</v>
      </c>
      <c r="N82" s="6"/>
      <c r="O82" s="6"/>
      <c r="P82" s="6"/>
      <c r="T82" s="36"/>
      <c r="U82" s="16">
        <f>M82</f>
        <v>10934.567910000002</v>
      </c>
      <c r="AC82" s="31"/>
      <c r="AD82" s="16">
        <f t="shared" si="1"/>
        <v>10934.567910000002</v>
      </c>
      <c r="AE82" s="26">
        <f>V82+AD82</f>
        <v>10934.567910000002</v>
      </c>
    </row>
    <row r="83" spans="1:31" ht="36" customHeight="1">
      <c r="A83" s="27"/>
      <c r="B83" s="97" t="s">
        <v>126</v>
      </c>
      <c r="C83" s="96" t="s">
        <v>30</v>
      </c>
      <c r="D83" s="55" t="s">
        <v>117</v>
      </c>
      <c r="E83" s="56" t="s">
        <v>125</v>
      </c>
      <c r="F83" s="55" t="s">
        <v>28</v>
      </c>
      <c r="G83" s="40">
        <f>646.3+500-500</f>
        <v>646.3</v>
      </c>
      <c r="H83" s="41">
        <f>1431.2679+0.00001</f>
        <v>1431.26791</v>
      </c>
      <c r="I83" s="42">
        <f>646.3+500-500+1431.26791</f>
        <v>2077.5679099999998</v>
      </c>
      <c r="J83" s="41">
        <v>0</v>
      </c>
      <c r="K83" s="44">
        <f>646.3+500-500+1431.26791</f>
        <v>2077.5679099999998</v>
      </c>
      <c r="L83" s="44">
        <v>0</v>
      </c>
      <c r="M83" s="95">
        <f>646.3+500-500+1431.26791</f>
        <v>2077.5679099999998</v>
      </c>
      <c r="N83" s="6"/>
      <c r="O83" s="6"/>
      <c r="P83" s="6"/>
      <c r="T83" s="36"/>
      <c r="U83" s="41">
        <f>646.3+500-500+1431.26791</f>
        <v>2077.5679099999998</v>
      </c>
      <c r="AC83" s="31"/>
      <c r="AD83" s="16">
        <f t="shared" si="1"/>
        <v>2077.5679099999998</v>
      </c>
      <c r="AE83" s="26">
        <f>V83+AD83</f>
        <v>2077.5679099999998</v>
      </c>
    </row>
    <row r="84" spans="1:31" ht="117" customHeight="1">
      <c r="A84" s="27"/>
      <c r="B84" s="98" t="s">
        <v>127</v>
      </c>
      <c r="C84" s="99" t="s">
        <v>30</v>
      </c>
      <c r="D84" s="65" t="s">
        <v>117</v>
      </c>
      <c r="E84" s="56" t="s">
        <v>128</v>
      </c>
      <c r="F84" s="55" t="s">
        <v>28</v>
      </c>
      <c r="G84" s="40">
        <v>0</v>
      </c>
      <c r="H84" s="41">
        <v>0</v>
      </c>
      <c r="I84" s="42">
        <v>0</v>
      </c>
      <c r="J84" s="40">
        <f>4491.3</f>
        <v>4491.3</v>
      </c>
      <c r="K84" s="48">
        <f>4491.3</f>
        <v>4491.3</v>
      </c>
      <c r="L84" s="43">
        <f>2718.3896+3355.3674-1496.7-2221.3+56.777+547+3+1496.7+2221.3-2000-355.757</f>
        <v>4324.777</v>
      </c>
      <c r="M84" s="45">
        <f>4491.3+L84</f>
        <v>8816.077000000001</v>
      </c>
      <c r="N84" s="6"/>
      <c r="O84" s="6"/>
      <c r="P84" s="6"/>
      <c r="T84" s="36"/>
      <c r="U84" s="46">
        <f>M84</f>
        <v>8816.077000000001</v>
      </c>
      <c r="AC84" s="31"/>
      <c r="AD84" s="16">
        <f t="shared" si="1"/>
        <v>8816.077000000001</v>
      </c>
      <c r="AE84" s="26">
        <v>7972.2</v>
      </c>
    </row>
    <row r="85" spans="1:31" ht="51" customHeight="1">
      <c r="A85" s="27"/>
      <c r="B85" s="100" t="s">
        <v>129</v>
      </c>
      <c r="C85" s="99" t="s">
        <v>30</v>
      </c>
      <c r="D85" s="65" t="s">
        <v>117</v>
      </c>
      <c r="E85" s="66" t="s">
        <v>130</v>
      </c>
      <c r="F85" s="65"/>
      <c r="G85" s="40">
        <f>G86+G88</f>
        <v>4200</v>
      </c>
      <c r="H85" s="41">
        <f>H86+H88</f>
        <v>199.9</v>
      </c>
      <c r="I85" s="42">
        <f>I86+I88</f>
        <v>4399.9</v>
      </c>
      <c r="J85" s="41">
        <f>J86+J88</f>
        <v>81.032</v>
      </c>
      <c r="K85" s="43">
        <f>K86+K88</f>
        <v>4480.932</v>
      </c>
      <c r="L85" s="43">
        <f>L86+L88+L87</f>
        <v>2696</v>
      </c>
      <c r="M85" s="45">
        <f>M86+M88+M87</f>
        <v>7176.932</v>
      </c>
      <c r="N85" s="6"/>
      <c r="O85" s="6"/>
      <c r="P85" s="6"/>
      <c r="T85" s="58">
        <f>T86</f>
        <v>182.67385000000002</v>
      </c>
      <c r="U85" s="41">
        <f>U86+U88+U87</f>
        <v>7359.60585</v>
      </c>
      <c r="AC85" s="31"/>
      <c r="AD85" s="16">
        <f t="shared" si="1"/>
        <v>7359.60585</v>
      </c>
      <c r="AE85" s="26">
        <f>AE86+AE87+AE88</f>
        <v>7281.9</v>
      </c>
    </row>
    <row r="86" spans="1:31" ht="114" customHeight="1">
      <c r="A86" s="27"/>
      <c r="B86" s="37" t="s">
        <v>131</v>
      </c>
      <c r="C86" s="55" t="s">
        <v>30</v>
      </c>
      <c r="D86" s="55" t="s">
        <v>117</v>
      </c>
      <c r="E86" s="101" t="s">
        <v>132</v>
      </c>
      <c r="F86" s="55" t="s">
        <v>28</v>
      </c>
      <c r="G86" s="102">
        <f>4200+700-700</f>
        <v>4200</v>
      </c>
      <c r="H86" s="41">
        <f>118.9+81</f>
        <v>199.9</v>
      </c>
      <c r="I86" s="42">
        <f>4200+700-700+118.9+81</f>
        <v>4399.9</v>
      </c>
      <c r="J86" s="41">
        <f>0+81.032</f>
        <v>81.032</v>
      </c>
      <c r="K86" s="43">
        <f>4200+700-700+118.9+81+81.032</f>
        <v>4480.932</v>
      </c>
      <c r="L86" s="48">
        <f>2000-2000+2000</f>
        <v>2000</v>
      </c>
      <c r="M86" s="45">
        <f>4200+700-700+118.9+81+81.032+2000-2000+2000</f>
        <v>6480.932</v>
      </c>
      <c r="N86" s="6"/>
      <c r="O86" s="6"/>
      <c r="P86" s="6"/>
      <c r="T86" s="58">
        <f>105+77.67385</f>
        <v>182.67385000000002</v>
      </c>
      <c r="U86" s="41">
        <f>4200+700-700+118.9+81+81.032+2000-2000+2000+T86</f>
        <v>6663.60585</v>
      </c>
      <c r="W86" t="s">
        <v>133</v>
      </c>
      <c r="AC86" s="31"/>
      <c r="AD86" s="16">
        <f t="shared" si="1"/>
        <v>6663.60585</v>
      </c>
      <c r="AE86" s="26">
        <v>6585.9</v>
      </c>
    </row>
    <row r="87" spans="1:31" ht="84.75" customHeight="1">
      <c r="A87" s="27"/>
      <c r="B87" s="37" t="s">
        <v>134</v>
      </c>
      <c r="C87" s="55" t="s">
        <v>30</v>
      </c>
      <c r="D87" s="55" t="s">
        <v>117</v>
      </c>
      <c r="E87" s="101" t="s">
        <v>132</v>
      </c>
      <c r="F87" s="55" t="s">
        <v>42</v>
      </c>
      <c r="G87" s="102"/>
      <c r="H87" s="41"/>
      <c r="I87" s="42"/>
      <c r="J87" s="41"/>
      <c r="K87" s="43">
        <v>0</v>
      </c>
      <c r="L87" s="44">
        <f>100</f>
        <v>100</v>
      </c>
      <c r="M87" s="49">
        <f>L87</f>
        <v>100</v>
      </c>
      <c r="N87" s="6"/>
      <c r="O87" s="6"/>
      <c r="P87" s="6"/>
      <c r="T87" s="36"/>
      <c r="U87" s="40">
        <f>M87</f>
        <v>100</v>
      </c>
      <c r="AC87" s="31"/>
      <c r="AD87" s="23">
        <f t="shared" si="1"/>
        <v>100</v>
      </c>
      <c r="AE87" s="26">
        <f aca="true" t="shared" si="23" ref="AE87:AE93">V87+AD87</f>
        <v>100</v>
      </c>
    </row>
    <row r="88" spans="1:31" ht="94.5">
      <c r="A88" s="27"/>
      <c r="B88" s="37" t="s">
        <v>135</v>
      </c>
      <c r="C88" s="55" t="s">
        <v>30</v>
      </c>
      <c r="D88" s="55" t="s">
        <v>117</v>
      </c>
      <c r="E88" s="103" t="s">
        <v>136</v>
      </c>
      <c r="F88" s="104" t="s">
        <v>28</v>
      </c>
      <c r="G88" s="40">
        <v>0</v>
      </c>
      <c r="H88" s="41"/>
      <c r="I88" s="42">
        <v>0</v>
      </c>
      <c r="J88" s="41"/>
      <c r="K88" s="62">
        <v>0</v>
      </c>
      <c r="L88" s="44">
        <f>298+L89</f>
        <v>596</v>
      </c>
      <c r="M88" s="49">
        <f>K88+L88</f>
        <v>596</v>
      </c>
      <c r="N88" s="6" t="s">
        <v>137</v>
      </c>
      <c r="O88" s="6"/>
      <c r="P88" s="6"/>
      <c r="T88" s="36"/>
      <c r="U88" s="40">
        <f>M88</f>
        <v>596</v>
      </c>
      <c r="AC88" s="31"/>
      <c r="AD88" s="23">
        <f t="shared" si="1"/>
        <v>596</v>
      </c>
      <c r="AE88" s="26">
        <f t="shared" si="23"/>
        <v>596</v>
      </c>
    </row>
    <row r="89" spans="1:31" ht="69" customHeight="1">
      <c r="A89" s="27"/>
      <c r="B89" s="105" t="s">
        <v>138</v>
      </c>
      <c r="C89" s="106" t="s">
        <v>30</v>
      </c>
      <c r="D89" s="106" t="s">
        <v>117</v>
      </c>
      <c r="E89" s="107" t="s">
        <v>136</v>
      </c>
      <c r="F89" s="108" t="s">
        <v>28</v>
      </c>
      <c r="G89" s="40"/>
      <c r="H89" s="41"/>
      <c r="I89" s="42"/>
      <c r="J89" s="41"/>
      <c r="K89" s="62"/>
      <c r="L89" s="44">
        <f>190+108</f>
        <v>298</v>
      </c>
      <c r="M89" s="49">
        <f>K89+L89</f>
        <v>298</v>
      </c>
      <c r="N89" s="6"/>
      <c r="O89" s="6"/>
      <c r="P89" s="6"/>
      <c r="T89" s="36"/>
      <c r="U89" s="40">
        <f>M89</f>
        <v>298</v>
      </c>
      <c r="AC89" s="31"/>
      <c r="AD89" s="23">
        <f t="shared" si="1"/>
        <v>298</v>
      </c>
      <c r="AE89" s="26">
        <f t="shared" si="23"/>
        <v>298</v>
      </c>
    </row>
    <row r="90" spans="1:31" ht="36.75" customHeight="1">
      <c r="A90" s="27"/>
      <c r="B90" s="109" t="s">
        <v>139</v>
      </c>
      <c r="C90" s="110" t="s">
        <v>30</v>
      </c>
      <c r="D90" s="110" t="s">
        <v>117</v>
      </c>
      <c r="E90" s="73" t="s">
        <v>140</v>
      </c>
      <c r="F90" s="55"/>
      <c r="G90" s="40">
        <f>G91</f>
        <v>700</v>
      </c>
      <c r="H90" s="41"/>
      <c r="I90" s="42">
        <f>I91</f>
        <v>700</v>
      </c>
      <c r="J90" s="41">
        <f>J91</f>
        <v>40</v>
      </c>
      <c r="K90" s="48">
        <f>K91</f>
        <v>740</v>
      </c>
      <c r="L90" s="44">
        <f>L91</f>
        <v>0</v>
      </c>
      <c r="M90" s="49">
        <f>M91</f>
        <v>740</v>
      </c>
      <c r="N90" s="6"/>
      <c r="O90" s="6"/>
      <c r="P90" s="6"/>
      <c r="T90" s="58">
        <f>T91</f>
        <v>-104.801</v>
      </c>
      <c r="U90" s="46">
        <f>U91</f>
        <v>635.199</v>
      </c>
      <c r="AC90" s="31"/>
      <c r="AD90" s="32">
        <f t="shared" si="1"/>
        <v>635.199</v>
      </c>
      <c r="AE90" s="26">
        <f t="shared" si="23"/>
        <v>635.199</v>
      </c>
    </row>
    <row r="91" spans="1:31" ht="86.25" customHeight="1">
      <c r="A91" s="27"/>
      <c r="B91" s="37" t="s">
        <v>141</v>
      </c>
      <c r="C91" s="65" t="s">
        <v>30</v>
      </c>
      <c r="D91" s="65" t="s">
        <v>117</v>
      </c>
      <c r="E91" s="56" t="s">
        <v>142</v>
      </c>
      <c r="F91" s="55" t="s">
        <v>28</v>
      </c>
      <c r="G91" s="40">
        <f>1000-300</f>
        <v>700</v>
      </c>
      <c r="H91" s="41"/>
      <c r="I91" s="42">
        <f>1000-300</f>
        <v>700</v>
      </c>
      <c r="J91" s="41">
        <v>40</v>
      </c>
      <c r="K91" s="48">
        <f>1000-300+J91</f>
        <v>740</v>
      </c>
      <c r="L91" s="44">
        <v>0</v>
      </c>
      <c r="M91" s="49">
        <f>K91+L91</f>
        <v>740</v>
      </c>
      <c r="N91" s="6"/>
      <c r="O91" s="6"/>
      <c r="P91" s="6"/>
      <c r="T91" s="58">
        <f>-105+0.199</f>
        <v>-104.801</v>
      </c>
      <c r="U91" s="46">
        <f>M91+T91</f>
        <v>635.199</v>
      </c>
      <c r="W91" t="s">
        <v>143</v>
      </c>
      <c r="AC91" s="31"/>
      <c r="AD91" s="32">
        <f t="shared" si="1"/>
        <v>635.199</v>
      </c>
      <c r="AE91" s="26">
        <f t="shared" si="23"/>
        <v>635.199</v>
      </c>
    </row>
    <row r="92" spans="1:31" ht="55.5" customHeight="1">
      <c r="A92" s="27"/>
      <c r="B92" s="37" t="s">
        <v>144</v>
      </c>
      <c r="C92" s="65" t="s">
        <v>30</v>
      </c>
      <c r="D92" s="65" t="s">
        <v>117</v>
      </c>
      <c r="E92" s="56" t="s">
        <v>145</v>
      </c>
      <c r="F92" s="55"/>
      <c r="G92" s="40">
        <f>G93</f>
        <v>900</v>
      </c>
      <c r="H92" s="41"/>
      <c r="I92" s="42">
        <f>I93</f>
        <v>900</v>
      </c>
      <c r="J92" s="41">
        <f>J93</f>
        <v>-40</v>
      </c>
      <c r="K92" s="48">
        <f>K93</f>
        <v>860</v>
      </c>
      <c r="L92" s="44">
        <f>L93</f>
        <v>-260.09999999999997</v>
      </c>
      <c r="M92" s="49">
        <f>M93</f>
        <v>599.9000000000001</v>
      </c>
      <c r="N92" s="6"/>
      <c r="O92" s="6"/>
      <c r="P92" s="6"/>
      <c r="T92" s="36"/>
      <c r="U92" s="40">
        <f>U93</f>
        <v>599.9000000000001</v>
      </c>
      <c r="AC92" s="31"/>
      <c r="AD92" s="23">
        <f t="shared" si="1"/>
        <v>599.9000000000001</v>
      </c>
      <c r="AE92" s="26">
        <f t="shared" si="23"/>
        <v>599.9000000000001</v>
      </c>
    </row>
    <row r="93" spans="1:31" ht="147" customHeight="1">
      <c r="A93" s="27"/>
      <c r="B93" s="37" t="s">
        <v>146</v>
      </c>
      <c r="C93" s="111" t="s">
        <v>30</v>
      </c>
      <c r="D93" s="111" t="s">
        <v>117</v>
      </c>
      <c r="E93" s="88" t="s">
        <v>147</v>
      </c>
      <c r="F93" s="55" t="s">
        <v>28</v>
      </c>
      <c r="G93" s="40">
        <v>900</v>
      </c>
      <c r="H93" s="41"/>
      <c r="I93" s="42">
        <v>900</v>
      </c>
      <c r="J93" s="41">
        <v>-40</v>
      </c>
      <c r="K93" s="48">
        <f>900+J93</f>
        <v>860</v>
      </c>
      <c r="L93" s="44">
        <f>-100-56.777-103.323</f>
        <v>-260.09999999999997</v>
      </c>
      <c r="M93" s="49">
        <f>K93+L93</f>
        <v>599.9000000000001</v>
      </c>
      <c r="N93" s="6"/>
      <c r="O93" s="6"/>
      <c r="P93" s="6"/>
      <c r="T93" s="36"/>
      <c r="U93" s="40">
        <f>M93</f>
        <v>599.9000000000001</v>
      </c>
      <c r="AC93" s="31"/>
      <c r="AD93" s="23">
        <f t="shared" si="1"/>
        <v>599.9000000000001</v>
      </c>
      <c r="AE93" s="26">
        <f t="shared" si="23"/>
        <v>599.9000000000001</v>
      </c>
    </row>
    <row r="94" spans="1:31" ht="53.25" customHeight="1">
      <c r="A94" s="27"/>
      <c r="B94" s="37" t="s">
        <v>148</v>
      </c>
      <c r="C94" s="111" t="s">
        <v>30</v>
      </c>
      <c r="D94" s="111" t="s">
        <v>117</v>
      </c>
      <c r="E94" s="88" t="s">
        <v>149</v>
      </c>
      <c r="F94" s="55"/>
      <c r="G94" s="40">
        <f aca="true" t="shared" si="24" ref="G94:M94">G95</f>
        <v>2918.1</v>
      </c>
      <c r="H94" s="41">
        <f t="shared" si="24"/>
        <v>-81</v>
      </c>
      <c r="I94" s="42">
        <f t="shared" si="24"/>
        <v>2837.1</v>
      </c>
      <c r="J94" s="41">
        <f t="shared" si="24"/>
        <v>5.068000000000005</v>
      </c>
      <c r="K94" s="43">
        <f t="shared" si="24"/>
        <v>2842.1679999999997</v>
      </c>
      <c r="L94" s="43">
        <f t="shared" si="24"/>
        <v>-1562.8449999999998</v>
      </c>
      <c r="M94" s="45">
        <f t="shared" si="24"/>
        <v>1279.3229999999999</v>
      </c>
      <c r="N94" s="6"/>
      <c r="O94" s="6"/>
      <c r="P94" s="6"/>
      <c r="T94" s="58">
        <f>T95</f>
        <v>-77.87285</v>
      </c>
      <c r="U94" s="41">
        <f>U95</f>
        <v>1201.45015</v>
      </c>
      <c r="AC94" s="31"/>
      <c r="AD94" s="16">
        <f t="shared" si="1"/>
        <v>1201.45015</v>
      </c>
      <c r="AE94" s="26">
        <f>AE95</f>
        <v>1135.1</v>
      </c>
    </row>
    <row r="95" spans="1:31" ht="82.5" customHeight="1">
      <c r="A95" s="27"/>
      <c r="B95" s="37" t="s">
        <v>150</v>
      </c>
      <c r="C95" s="111" t="s">
        <v>30</v>
      </c>
      <c r="D95" s="111" t="s">
        <v>117</v>
      </c>
      <c r="E95" s="88" t="s">
        <v>151</v>
      </c>
      <c r="F95" s="55" t="s">
        <v>28</v>
      </c>
      <c r="G95" s="40">
        <f>300+700+718.1+700+500</f>
        <v>2918.1</v>
      </c>
      <c r="H95" s="41">
        <f>-1431.26791+1431.26791-81</f>
        <v>-81</v>
      </c>
      <c r="I95" s="42">
        <f>300+700+718.1+700+500-1431.26791-81+1431.26791</f>
        <v>2837.1</v>
      </c>
      <c r="J95" s="41">
        <f>0-81.032+54+32.1</f>
        <v>5.068000000000005</v>
      </c>
      <c r="K95" s="43">
        <f>300+700+718.1+700+500-1431.26791-81+1431.26791-81.032+54+32.1</f>
        <v>2842.1679999999997</v>
      </c>
      <c r="L95" s="43">
        <f>0-192.1-924.068-178.98115-40.6-224.09585-3</f>
        <v>-1562.8449999999998</v>
      </c>
      <c r="M95" s="45">
        <f>300+700+718.1+700+500-1431.26791-81+1431.26791-81.032+54+32.1-192.1-924.068-178.98115-40.6-224.09585-3</f>
        <v>1279.3229999999999</v>
      </c>
      <c r="N95" s="6" t="s">
        <v>137</v>
      </c>
      <c r="O95" s="6"/>
      <c r="P95" s="6"/>
      <c r="T95" s="58">
        <f>-0.199-77.67385</f>
        <v>-77.87285</v>
      </c>
      <c r="U95" s="41">
        <f>300+700+718.1+700+500-1431.26791-81+1431.26791-81.032+54+32.1-192.1-924.068-178.98115-40.6-224.09585-3+T95</f>
        <v>1201.45015</v>
      </c>
      <c r="W95" t="s">
        <v>152</v>
      </c>
      <c r="AC95" s="31"/>
      <c r="AD95" s="16">
        <f t="shared" si="1"/>
        <v>1201.45015</v>
      </c>
      <c r="AE95" s="26">
        <v>1135.1</v>
      </c>
    </row>
    <row r="96" spans="1:31" ht="164.25" customHeight="1">
      <c r="A96" s="27"/>
      <c r="B96" s="20" t="s">
        <v>153</v>
      </c>
      <c r="C96" s="69" t="s">
        <v>30</v>
      </c>
      <c r="D96" s="69" t="s">
        <v>117</v>
      </c>
      <c r="E96" s="70" t="s">
        <v>154</v>
      </c>
      <c r="F96" s="69"/>
      <c r="G96" s="23">
        <f>G97</f>
        <v>300</v>
      </c>
      <c r="H96" s="16"/>
      <c r="I96" s="17">
        <f>I97</f>
        <v>300</v>
      </c>
      <c r="J96" s="16"/>
      <c r="K96" s="29">
        <f aca="true" t="shared" si="25" ref="K96:M97">K97</f>
        <v>300</v>
      </c>
      <c r="L96" s="34">
        <f t="shared" si="25"/>
        <v>209.97</v>
      </c>
      <c r="M96" s="30">
        <f t="shared" si="25"/>
        <v>509.97</v>
      </c>
      <c r="N96" s="6"/>
      <c r="O96" s="6"/>
      <c r="P96" s="6"/>
      <c r="T96" s="36"/>
      <c r="U96" s="23">
        <f>U97</f>
        <v>509.97</v>
      </c>
      <c r="AC96" s="31"/>
      <c r="AD96" s="23">
        <f t="shared" si="1"/>
        <v>509.97</v>
      </c>
      <c r="AE96" s="26">
        <f>V96+AD96</f>
        <v>509.97</v>
      </c>
    </row>
    <row r="97" spans="1:31" ht="51.75" customHeight="1">
      <c r="A97" s="27"/>
      <c r="B97" s="37" t="s">
        <v>155</v>
      </c>
      <c r="C97" s="89" t="s">
        <v>30</v>
      </c>
      <c r="D97" s="89" t="s">
        <v>117</v>
      </c>
      <c r="E97" s="88" t="s">
        <v>156</v>
      </c>
      <c r="F97" s="89"/>
      <c r="G97" s="40">
        <f>G98</f>
        <v>300</v>
      </c>
      <c r="H97" s="41"/>
      <c r="I97" s="42">
        <f>I98</f>
        <v>300</v>
      </c>
      <c r="J97" s="41"/>
      <c r="K97" s="48">
        <f t="shared" si="25"/>
        <v>300</v>
      </c>
      <c r="L97" s="43">
        <f t="shared" si="25"/>
        <v>209.97</v>
      </c>
      <c r="M97" s="49">
        <f t="shared" si="25"/>
        <v>509.97</v>
      </c>
      <c r="N97" s="6"/>
      <c r="O97" s="6"/>
      <c r="P97" s="6"/>
      <c r="T97" s="36"/>
      <c r="U97" s="40">
        <f>U98</f>
        <v>509.97</v>
      </c>
      <c r="AC97" s="31"/>
      <c r="AD97" s="23">
        <f t="shared" si="1"/>
        <v>509.97</v>
      </c>
      <c r="AE97" s="26">
        <f>V97+AD97</f>
        <v>509.97</v>
      </c>
    </row>
    <row r="98" spans="1:31" ht="189">
      <c r="A98" s="27"/>
      <c r="B98" s="37" t="s">
        <v>157</v>
      </c>
      <c r="C98" s="89" t="s">
        <v>30</v>
      </c>
      <c r="D98" s="89" t="s">
        <v>117</v>
      </c>
      <c r="E98" s="88" t="s">
        <v>158</v>
      </c>
      <c r="F98" s="89" t="s">
        <v>28</v>
      </c>
      <c r="G98" s="40">
        <v>300</v>
      </c>
      <c r="H98" s="41"/>
      <c r="I98" s="42">
        <v>300</v>
      </c>
      <c r="J98" s="41"/>
      <c r="K98" s="48">
        <v>300</v>
      </c>
      <c r="L98" s="43">
        <f>209.97</f>
        <v>209.97</v>
      </c>
      <c r="M98" s="49">
        <f>300+209.97</f>
        <v>509.97</v>
      </c>
      <c r="N98" s="6"/>
      <c r="O98" s="6"/>
      <c r="P98" s="6"/>
      <c r="T98" s="36"/>
      <c r="U98" s="40">
        <f>300+209.97</f>
        <v>509.97</v>
      </c>
      <c r="V98" s="6"/>
      <c r="AC98" s="31"/>
      <c r="AD98" s="23">
        <f t="shared" si="1"/>
        <v>509.97</v>
      </c>
      <c r="AE98" s="26">
        <f>V98+AD98</f>
        <v>509.97</v>
      </c>
    </row>
    <row r="99" spans="1:31" ht="37.5" customHeight="1">
      <c r="A99" s="27"/>
      <c r="B99" s="20" t="s">
        <v>159</v>
      </c>
      <c r="C99" s="69" t="s">
        <v>30</v>
      </c>
      <c r="D99" s="69" t="s">
        <v>160</v>
      </c>
      <c r="E99" s="70"/>
      <c r="F99" s="69"/>
      <c r="G99" s="23">
        <f aca="true" t="shared" si="26" ref="G99:M99">G100+G103+G106+G109+G112+G115</f>
        <v>1811.8</v>
      </c>
      <c r="H99" s="16">
        <f t="shared" si="26"/>
        <v>43.624</v>
      </c>
      <c r="I99" s="17">
        <f t="shared" si="26"/>
        <v>1855.424</v>
      </c>
      <c r="J99" s="16">
        <f t="shared" si="26"/>
        <v>170</v>
      </c>
      <c r="K99" s="34">
        <f t="shared" si="26"/>
        <v>2025.424</v>
      </c>
      <c r="L99" s="18">
        <f t="shared" si="26"/>
        <v>24.5</v>
      </c>
      <c r="M99" s="35">
        <f t="shared" si="26"/>
        <v>2049.924</v>
      </c>
      <c r="N99" s="6"/>
      <c r="O99" s="6"/>
      <c r="P99" s="6"/>
      <c r="T99" s="58">
        <f>T100+T103+T106+T109</f>
        <v>-21.86833</v>
      </c>
      <c r="U99" s="16">
        <f>M99+T99</f>
        <v>2028.05567</v>
      </c>
      <c r="V99" s="6"/>
      <c r="AC99" s="31"/>
      <c r="AD99" s="16">
        <f t="shared" si="1"/>
        <v>2028.05567</v>
      </c>
      <c r="AE99" s="26">
        <f>AE100+AE103+AE106+AE109+AE112+AE115</f>
        <v>2008.83167</v>
      </c>
    </row>
    <row r="100" spans="1:31" ht="101.25" customHeight="1">
      <c r="A100" s="27"/>
      <c r="B100" s="20" t="s">
        <v>161</v>
      </c>
      <c r="C100" s="69" t="s">
        <v>30</v>
      </c>
      <c r="D100" s="69" t="s">
        <v>162</v>
      </c>
      <c r="E100" s="70" t="s">
        <v>163</v>
      </c>
      <c r="F100" s="69"/>
      <c r="G100" s="23">
        <f>G101</f>
        <v>100</v>
      </c>
      <c r="H100" s="16"/>
      <c r="I100" s="17">
        <f>I101</f>
        <v>100</v>
      </c>
      <c r="J100" s="16"/>
      <c r="K100" s="29">
        <f>K101</f>
        <v>100</v>
      </c>
      <c r="L100" s="18"/>
      <c r="M100" s="30">
        <f>M101</f>
        <v>100</v>
      </c>
      <c r="N100" s="6"/>
      <c r="O100" s="6"/>
      <c r="P100" s="6"/>
      <c r="T100" s="58">
        <f>T101</f>
        <v>-14.36833</v>
      </c>
      <c r="U100" s="16">
        <f>U101</f>
        <v>85.63167</v>
      </c>
      <c r="AC100" s="31"/>
      <c r="AD100" s="16">
        <f t="shared" si="1"/>
        <v>85.63167</v>
      </c>
      <c r="AE100" s="26">
        <f aca="true" t="shared" si="27" ref="AE100:AE105">V100+AD100</f>
        <v>85.63167</v>
      </c>
    </row>
    <row r="101" spans="1:31" ht="36" customHeight="1">
      <c r="A101" s="27"/>
      <c r="B101" s="52" t="s">
        <v>164</v>
      </c>
      <c r="C101" s="55" t="s">
        <v>30</v>
      </c>
      <c r="D101" s="55" t="s">
        <v>160</v>
      </c>
      <c r="E101" s="56" t="s">
        <v>165</v>
      </c>
      <c r="F101" s="55"/>
      <c r="G101" s="40">
        <f>G102</f>
        <v>100</v>
      </c>
      <c r="H101" s="41"/>
      <c r="I101" s="42">
        <f>I102</f>
        <v>100</v>
      </c>
      <c r="J101" s="41"/>
      <c r="K101" s="48">
        <f>K102</f>
        <v>100</v>
      </c>
      <c r="L101" s="44"/>
      <c r="M101" s="49">
        <f>M102</f>
        <v>100</v>
      </c>
      <c r="N101" s="6"/>
      <c r="O101" s="6"/>
      <c r="P101" s="6"/>
      <c r="T101" s="58">
        <f>T102</f>
        <v>-14.36833</v>
      </c>
      <c r="U101" s="41">
        <f>U102</f>
        <v>85.63167</v>
      </c>
      <c r="AC101" s="31"/>
      <c r="AD101" s="16">
        <f t="shared" si="1"/>
        <v>85.63167</v>
      </c>
      <c r="AE101" s="26">
        <f t="shared" si="27"/>
        <v>85.63167</v>
      </c>
    </row>
    <row r="102" spans="1:31" ht="70.5" customHeight="1">
      <c r="A102" s="27"/>
      <c r="B102" s="52" t="s">
        <v>166</v>
      </c>
      <c r="C102" s="55" t="s">
        <v>30</v>
      </c>
      <c r="D102" s="55" t="s">
        <v>160</v>
      </c>
      <c r="E102" s="56" t="s">
        <v>167</v>
      </c>
      <c r="F102" s="55" t="s">
        <v>28</v>
      </c>
      <c r="G102" s="40">
        <v>100</v>
      </c>
      <c r="H102" s="41"/>
      <c r="I102" s="42">
        <v>100</v>
      </c>
      <c r="J102" s="41"/>
      <c r="K102" s="48">
        <v>100</v>
      </c>
      <c r="L102" s="44"/>
      <c r="M102" s="49">
        <v>100</v>
      </c>
      <c r="N102" s="6"/>
      <c r="O102" s="6"/>
      <c r="P102" s="6"/>
      <c r="T102" s="58">
        <f>-6-8.36833</f>
        <v>-14.36833</v>
      </c>
      <c r="U102" s="41">
        <f>100+T102</f>
        <v>85.63167</v>
      </c>
      <c r="W102" t="s">
        <v>168</v>
      </c>
      <c r="AC102" s="31"/>
      <c r="AD102" s="16">
        <f t="shared" si="1"/>
        <v>85.63167</v>
      </c>
      <c r="AE102" s="26">
        <f t="shared" si="27"/>
        <v>85.63167</v>
      </c>
    </row>
    <row r="103" spans="1:31" ht="125.25" customHeight="1">
      <c r="A103" s="27"/>
      <c r="B103" s="20" t="s">
        <v>169</v>
      </c>
      <c r="C103" s="69" t="s">
        <v>30</v>
      </c>
      <c r="D103" s="69" t="s">
        <v>160</v>
      </c>
      <c r="E103" s="70" t="s">
        <v>117</v>
      </c>
      <c r="F103" s="55"/>
      <c r="G103" s="23">
        <f>G104</f>
        <v>50</v>
      </c>
      <c r="H103" s="16"/>
      <c r="I103" s="17">
        <f>I104</f>
        <v>50</v>
      </c>
      <c r="J103" s="16"/>
      <c r="K103" s="29">
        <f>K104</f>
        <v>50</v>
      </c>
      <c r="L103" s="18"/>
      <c r="M103" s="30">
        <f>M104</f>
        <v>50</v>
      </c>
      <c r="N103" s="6"/>
      <c r="O103" s="6"/>
      <c r="P103" s="6"/>
      <c r="T103" s="36">
        <f>T105</f>
        <v>6</v>
      </c>
      <c r="U103" s="23">
        <f>U104</f>
        <v>56</v>
      </c>
      <c r="AC103" s="31"/>
      <c r="AD103" s="23">
        <f t="shared" si="1"/>
        <v>56</v>
      </c>
      <c r="AE103" s="26">
        <f t="shared" si="27"/>
        <v>56</v>
      </c>
    </row>
    <row r="104" spans="1:31" ht="41.25" customHeight="1">
      <c r="A104" s="27"/>
      <c r="B104" s="52" t="s">
        <v>170</v>
      </c>
      <c r="C104" s="55" t="s">
        <v>30</v>
      </c>
      <c r="D104" s="55" t="s">
        <v>160</v>
      </c>
      <c r="E104" s="56" t="s">
        <v>171</v>
      </c>
      <c r="F104" s="55"/>
      <c r="G104" s="40">
        <f>G105</f>
        <v>50</v>
      </c>
      <c r="H104" s="41"/>
      <c r="I104" s="42">
        <f>I105</f>
        <v>50</v>
      </c>
      <c r="J104" s="41"/>
      <c r="K104" s="48">
        <f>K105</f>
        <v>50</v>
      </c>
      <c r="L104" s="44"/>
      <c r="M104" s="49">
        <f>M105</f>
        <v>50</v>
      </c>
      <c r="N104" s="6"/>
      <c r="O104" s="6"/>
      <c r="P104" s="6"/>
      <c r="T104" s="36">
        <f>T105</f>
        <v>6</v>
      </c>
      <c r="U104" s="40">
        <f>U105</f>
        <v>56</v>
      </c>
      <c r="AC104" s="31"/>
      <c r="AD104" s="23">
        <f t="shared" si="1"/>
        <v>56</v>
      </c>
      <c r="AE104" s="26">
        <f t="shared" si="27"/>
        <v>56</v>
      </c>
    </row>
    <row r="105" spans="1:31" ht="68.25" customHeight="1">
      <c r="A105" s="27"/>
      <c r="B105" s="52" t="s">
        <v>54</v>
      </c>
      <c r="C105" s="55" t="s">
        <v>30</v>
      </c>
      <c r="D105" s="55" t="s">
        <v>160</v>
      </c>
      <c r="E105" s="56" t="s">
        <v>172</v>
      </c>
      <c r="F105" s="55" t="s">
        <v>28</v>
      </c>
      <c r="G105" s="40">
        <f>50</f>
        <v>50</v>
      </c>
      <c r="H105" s="41"/>
      <c r="I105" s="42">
        <f>50</f>
        <v>50</v>
      </c>
      <c r="J105" s="41"/>
      <c r="K105" s="48">
        <f>50</f>
        <v>50</v>
      </c>
      <c r="L105" s="44"/>
      <c r="M105" s="49">
        <f>50</f>
        <v>50</v>
      </c>
      <c r="N105" s="6"/>
      <c r="O105" s="6"/>
      <c r="P105" s="6"/>
      <c r="T105" s="36">
        <f>6</f>
        <v>6</v>
      </c>
      <c r="U105" s="40">
        <f>50+T105</f>
        <v>56</v>
      </c>
      <c r="W105" t="s">
        <v>173</v>
      </c>
      <c r="AC105" s="31"/>
      <c r="AD105" s="23">
        <f t="shared" si="1"/>
        <v>56</v>
      </c>
      <c r="AE105" s="26">
        <f t="shared" si="27"/>
        <v>56</v>
      </c>
    </row>
    <row r="106" spans="1:31" ht="166.5" customHeight="1">
      <c r="A106" s="27"/>
      <c r="B106" s="20" t="s">
        <v>174</v>
      </c>
      <c r="C106" s="69" t="s">
        <v>30</v>
      </c>
      <c r="D106" s="69" t="s">
        <v>160</v>
      </c>
      <c r="E106" s="70" t="s">
        <v>93</v>
      </c>
      <c r="F106" s="69"/>
      <c r="G106" s="23">
        <f aca="true" t="shared" si="28" ref="G106:M107">G107</f>
        <v>60</v>
      </c>
      <c r="H106" s="16">
        <f t="shared" si="28"/>
        <v>0</v>
      </c>
      <c r="I106" s="17">
        <f t="shared" si="28"/>
        <v>60</v>
      </c>
      <c r="J106" s="16">
        <f t="shared" si="28"/>
        <v>70</v>
      </c>
      <c r="K106" s="29">
        <f t="shared" si="28"/>
        <v>130</v>
      </c>
      <c r="L106" s="18">
        <f t="shared" si="28"/>
        <v>0</v>
      </c>
      <c r="M106" s="30">
        <f t="shared" si="28"/>
        <v>130</v>
      </c>
      <c r="N106" s="6"/>
      <c r="O106" s="6"/>
      <c r="P106" s="6"/>
      <c r="T106" s="36">
        <f>T107</f>
        <v>-13.5</v>
      </c>
      <c r="U106" s="23">
        <f>U107</f>
        <v>116.5</v>
      </c>
      <c r="AC106" s="31"/>
      <c r="AD106" s="23">
        <f t="shared" si="1"/>
        <v>116.5</v>
      </c>
      <c r="AE106" s="26">
        <f>AE107</f>
        <v>108.5</v>
      </c>
    </row>
    <row r="107" spans="1:31" ht="38.25" customHeight="1">
      <c r="A107" s="27"/>
      <c r="B107" s="52" t="s">
        <v>175</v>
      </c>
      <c r="C107" s="55" t="s">
        <v>30</v>
      </c>
      <c r="D107" s="55" t="s">
        <v>160</v>
      </c>
      <c r="E107" s="56" t="s">
        <v>176</v>
      </c>
      <c r="F107" s="55"/>
      <c r="G107" s="40">
        <f t="shared" si="28"/>
        <v>60</v>
      </c>
      <c r="H107" s="41">
        <f t="shared" si="28"/>
        <v>0</v>
      </c>
      <c r="I107" s="42">
        <f t="shared" si="28"/>
        <v>60</v>
      </c>
      <c r="J107" s="41">
        <f t="shared" si="28"/>
        <v>70</v>
      </c>
      <c r="K107" s="48">
        <f t="shared" si="28"/>
        <v>130</v>
      </c>
      <c r="L107" s="44">
        <f t="shared" si="28"/>
        <v>0</v>
      </c>
      <c r="M107" s="49">
        <f t="shared" si="28"/>
        <v>130</v>
      </c>
      <c r="N107" s="6"/>
      <c r="O107" s="6"/>
      <c r="P107" s="6"/>
      <c r="T107" s="36">
        <f>T108</f>
        <v>-13.5</v>
      </c>
      <c r="U107" s="40">
        <f>U108</f>
        <v>116.5</v>
      </c>
      <c r="AC107" s="31"/>
      <c r="AD107" s="23">
        <f t="shared" si="1"/>
        <v>116.5</v>
      </c>
      <c r="AE107" s="26">
        <f>AE108</f>
        <v>108.5</v>
      </c>
    </row>
    <row r="108" spans="1:31" ht="69.75" customHeight="1">
      <c r="A108" s="27"/>
      <c r="B108" s="52" t="s">
        <v>54</v>
      </c>
      <c r="C108" s="55" t="s">
        <v>30</v>
      </c>
      <c r="D108" s="55" t="s">
        <v>160</v>
      </c>
      <c r="E108" s="56" t="s">
        <v>177</v>
      </c>
      <c r="F108" s="55" t="s">
        <v>28</v>
      </c>
      <c r="G108" s="40">
        <f>60</f>
        <v>60</v>
      </c>
      <c r="H108" s="41"/>
      <c r="I108" s="42">
        <f>60</f>
        <v>60</v>
      </c>
      <c r="J108" s="41">
        <f>70</f>
        <v>70</v>
      </c>
      <c r="K108" s="48">
        <f>60+70</f>
        <v>130</v>
      </c>
      <c r="L108" s="44">
        <v>0</v>
      </c>
      <c r="M108" s="49">
        <f>60+70</f>
        <v>130</v>
      </c>
      <c r="N108" s="6"/>
      <c r="O108" s="6"/>
      <c r="P108" s="6"/>
      <c r="T108" s="36">
        <v>-13.5</v>
      </c>
      <c r="U108" s="40">
        <f>60+70+T108</f>
        <v>116.5</v>
      </c>
      <c r="AC108" s="31"/>
      <c r="AD108" s="23">
        <f t="shared" si="1"/>
        <v>116.5</v>
      </c>
      <c r="AE108" s="26">
        <v>108.5</v>
      </c>
    </row>
    <row r="109" spans="1:31" ht="66.75" customHeight="1">
      <c r="A109" s="27"/>
      <c r="B109" s="20" t="s">
        <v>178</v>
      </c>
      <c r="C109" s="69" t="s">
        <v>30</v>
      </c>
      <c r="D109" s="69" t="s">
        <v>160</v>
      </c>
      <c r="E109" s="70" t="s">
        <v>44</v>
      </c>
      <c r="F109" s="55"/>
      <c r="G109" s="23">
        <f>G110</f>
        <v>10</v>
      </c>
      <c r="H109" s="16"/>
      <c r="I109" s="17">
        <f>I110</f>
        <v>10</v>
      </c>
      <c r="J109" s="16"/>
      <c r="K109" s="29">
        <f>K110</f>
        <v>10</v>
      </c>
      <c r="L109" s="18"/>
      <c r="M109" s="30">
        <f>M110</f>
        <v>10</v>
      </c>
      <c r="N109" s="6"/>
      <c r="O109" s="6"/>
      <c r="P109" s="6"/>
      <c r="T109" s="36"/>
      <c r="U109" s="23">
        <f>U110</f>
        <v>10</v>
      </c>
      <c r="AC109" s="31"/>
      <c r="AD109" s="23">
        <f t="shared" si="1"/>
        <v>10</v>
      </c>
      <c r="AE109" s="26">
        <f>V109+AD109</f>
        <v>10</v>
      </c>
    </row>
    <row r="110" spans="1:31" ht="57.75" customHeight="1">
      <c r="A110" s="27"/>
      <c r="B110" s="52" t="s">
        <v>179</v>
      </c>
      <c r="C110" s="55" t="s">
        <v>30</v>
      </c>
      <c r="D110" s="55" t="s">
        <v>160</v>
      </c>
      <c r="E110" s="56" t="s">
        <v>180</v>
      </c>
      <c r="F110" s="55"/>
      <c r="G110" s="40">
        <f>G111</f>
        <v>10</v>
      </c>
      <c r="H110" s="41"/>
      <c r="I110" s="42">
        <f>I111</f>
        <v>10</v>
      </c>
      <c r="J110" s="41"/>
      <c r="K110" s="48">
        <f>K111</f>
        <v>10</v>
      </c>
      <c r="L110" s="44"/>
      <c r="M110" s="49">
        <f>M111</f>
        <v>10</v>
      </c>
      <c r="N110" s="6"/>
      <c r="O110" s="6"/>
      <c r="P110" s="6"/>
      <c r="T110" s="36"/>
      <c r="U110" s="40">
        <f>U111</f>
        <v>10</v>
      </c>
      <c r="AC110" s="31"/>
      <c r="AD110" s="23">
        <f t="shared" si="1"/>
        <v>10</v>
      </c>
      <c r="AE110" s="26">
        <f>V110+AD110</f>
        <v>10</v>
      </c>
    </row>
    <row r="111" spans="1:31" ht="72" customHeight="1">
      <c r="A111" s="27"/>
      <c r="B111" s="52" t="s">
        <v>54</v>
      </c>
      <c r="C111" s="55" t="s">
        <v>30</v>
      </c>
      <c r="D111" s="55" t="s">
        <v>160</v>
      </c>
      <c r="E111" s="56" t="s">
        <v>181</v>
      </c>
      <c r="F111" s="55" t="s">
        <v>28</v>
      </c>
      <c r="G111" s="40">
        <f>10</f>
        <v>10</v>
      </c>
      <c r="H111" s="41"/>
      <c r="I111" s="42">
        <f>10</f>
        <v>10</v>
      </c>
      <c r="J111" s="41"/>
      <c r="K111" s="48">
        <f>10</f>
        <v>10</v>
      </c>
      <c r="L111" s="44"/>
      <c r="M111" s="49">
        <f>10</f>
        <v>10</v>
      </c>
      <c r="N111" s="6"/>
      <c r="O111" s="6"/>
      <c r="P111" s="6"/>
      <c r="T111" s="36"/>
      <c r="U111" s="40">
        <f>10</f>
        <v>10</v>
      </c>
      <c r="AC111" s="31"/>
      <c r="AD111" s="23">
        <f t="shared" si="1"/>
        <v>10</v>
      </c>
      <c r="AE111" s="26">
        <f>V111+AD111</f>
        <v>10</v>
      </c>
    </row>
    <row r="112" spans="1:31" ht="114.75" customHeight="1">
      <c r="A112" s="27"/>
      <c r="B112" s="20" t="s">
        <v>62</v>
      </c>
      <c r="C112" s="69" t="s">
        <v>30</v>
      </c>
      <c r="D112" s="69" t="s">
        <v>160</v>
      </c>
      <c r="E112" s="70" t="s">
        <v>16</v>
      </c>
      <c r="F112" s="55"/>
      <c r="G112" s="23">
        <f aca="true" t="shared" si="29" ref="G112:M113">G113</f>
        <v>1211.8</v>
      </c>
      <c r="H112" s="16">
        <f t="shared" si="29"/>
        <v>43.624</v>
      </c>
      <c r="I112" s="17">
        <f t="shared" si="29"/>
        <v>1255.424</v>
      </c>
      <c r="J112" s="23">
        <f t="shared" si="29"/>
        <v>0</v>
      </c>
      <c r="K112" s="34">
        <f t="shared" si="29"/>
        <v>1255.424</v>
      </c>
      <c r="L112" s="29">
        <f t="shared" si="29"/>
        <v>24.5</v>
      </c>
      <c r="M112" s="35">
        <f t="shared" si="29"/>
        <v>1279.924</v>
      </c>
      <c r="N112" s="6"/>
      <c r="O112" s="6"/>
      <c r="P112" s="6"/>
      <c r="T112" s="36"/>
      <c r="U112" s="32">
        <f>U113</f>
        <v>1279.924</v>
      </c>
      <c r="AC112" s="31"/>
      <c r="AD112" s="32">
        <f t="shared" si="1"/>
        <v>1279.924</v>
      </c>
      <c r="AE112" s="26">
        <f>AE113</f>
        <v>1268.7</v>
      </c>
    </row>
    <row r="113" spans="1:31" ht="36.75" customHeight="1">
      <c r="A113" s="27"/>
      <c r="B113" s="59" t="s">
        <v>182</v>
      </c>
      <c r="C113" s="55" t="s">
        <v>30</v>
      </c>
      <c r="D113" s="55" t="s">
        <v>160</v>
      </c>
      <c r="E113" s="56" t="s">
        <v>64</v>
      </c>
      <c r="F113" s="55"/>
      <c r="G113" s="40">
        <f t="shared" si="29"/>
        <v>1211.8</v>
      </c>
      <c r="H113" s="41">
        <f t="shared" si="29"/>
        <v>43.624</v>
      </c>
      <c r="I113" s="42">
        <f t="shared" si="29"/>
        <v>1255.424</v>
      </c>
      <c r="J113" s="40">
        <f t="shared" si="29"/>
        <v>0</v>
      </c>
      <c r="K113" s="43">
        <f t="shared" si="29"/>
        <v>1255.424</v>
      </c>
      <c r="L113" s="48">
        <f t="shared" si="29"/>
        <v>24.5</v>
      </c>
      <c r="M113" s="45">
        <f t="shared" si="29"/>
        <v>1279.924</v>
      </c>
      <c r="N113" s="6"/>
      <c r="O113" s="6"/>
      <c r="P113" s="6"/>
      <c r="T113" s="36"/>
      <c r="U113" s="46">
        <f>U114</f>
        <v>1279.924</v>
      </c>
      <c r="AC113" s="31"/>
      <c r="AD113" s="32">
        <f t="shared" si="1"/>
        <v>1279.924</v>
      </c>
      <c r="AE113" s="26">
        <f>AE114</f>
        <v>1268.7</v>
      </c>
    </row>
    <row r="114" spans="1:31" ht="180" customHeight="1">
      <c r="A114" s="27"/>
      <c r="B114" s="50" t="s">
        <v>65</v>
      </c>
      <c r="C114" s="65" t="s">
        <v>30</v>
      </c>
      <c r="D114" s="65" t="s">
        <v>160</v>
      </c>
      <c r="E114" s="66" t="s">
        <v>66</v>
      </c>
      <c r="F114" s="55" t="s">
        <v>23</v>
      </c>
      <c r="G114" s="40">
        <v>1211.8</v>
      </c>
      <c r="H114" s="41">
        <v>43.624</v>
      </c>
      <c r="I114" s="42">
        <f>1211.8+43.624</f>
        <v>1255.424</v>
      </c>
      <c r="J114" s="40">
        <v>0</v>
      </c>
      <c r="K114" s="43">
        <f>1211.8+43.624</f>
        <v>1255.424</v>
      </c>
      <c r="L114" s="48">
        <f>18.8+5.7</f>
        <v>24.5</v>
      </c>
      <c r="M114" s="45">
        <f>1211.8+43.624+18.8+5.7</f>
        <v>1279.924</v>
      </c>
      <c r="N114" s="6"/>
      <c r="O114" s="6"/>
      <c r="P114" s="6"/>
      <c r="T114" s="36"/>
      <c r="U114" s="46">
        <f>1211.8+43.624+18.8+5.7</f>
        <v>1279.924</v>
      </c>
      <c r="AC114" s="31"/>
      <c r="AD114" s="32">
        <f t="shared" si="1"/>
        <v>1279.924</v>
      </c>
      <c r="AE114" s="26">
        <v>1268.7</v>
      </c>
    </row>
    <row r="115" spans="1:31" ht="68.25" customHeight="1">
      <c r="A115" s="27"/>
      <c r="B115" s="20" t="s">
        <v>183</v>
      </c>
      <c r="C115" s="112" t="s">
        <v>30</v>
      </c>
      <c r="D115" s="113" t="s">
        <v>160</v>
      </c>
      <c r="E115" s="114" t="s">
        <v>184</v>
      </c>
      <c r="F115" s="113"/>
      <c r="G115" s="23">
        <f>G116</f>
        <v>380</v>
      </c>
      <c r="H115" s="16"/>
      <c r="I115" s="17">
        <f aca="true" t="shared" si="30" ref="I115:M116">I116</f>
        <v>380</v>
      </c>
      <c r="J115" s="23">
        <f t="shared" si="30"/>
        <v>100</v>
      </c>
      <c r="K115" s="29">
        <f t="shared" si="30"/>
        <v>480</v>
      </c>
      <c r="L115" s="29">
        <f t="shared" si="30"/>
        <v>0</v>
      </c>
      <c r="M115" s="30">
        <f t="shared" si="30"/>
        <v>480</v>
      </c>
      <c r="N115" s="6"/>
      <c r="O115" s="6"/>
      <c r="P115" s="6"/>
      <c r="T115" s="36"/>
      <c r="U115" s="23">
        <f>U116</f>
        <v>480</v>
      </c>
      <c r="AC115" s="31"/>
      <c r="AD115" s="23">
        <f t="shared" si="1"/>
        <v>480</v>
      </c>
      <c r="AE115" s="26">
        <f aca="true" t="shared" si="31" ref="AE115:AE120">V115+AD115</f>
        <v>480</v>
      </c>
    </row>
    <row r="116" spans="1:31" ht="69" customHeight="1">
      <c r="A116" s="27"/>
      <c r="B116" s="71" t="s">
        <v>185</v>
      </c>
      <c r="C116" s="89" t="s">
        <v>30</v>
      </c>
      <c r="D116" s="89" t="s">
        <v>160</v>
      </c>
      <c r="E116" s="88" t="s">
        <v>186</v>
      </c>
      <c r="F116" s="89"/>
      <c r="G116" s="40">
        <f>G117</f>
        <v>380</v>
      </c>
      <c r="H116" s="41"/>
      <c r="I116" s="42">
        <f t="shared" si="30"/>
        <v>380</v>
      </c>
      <c r="J116" s="40">
        <f t="shared" si="30"/>
        <v>100</v>
      </c>
      <c r="K116" s="48">
        <f t="shared" si="30"/>
        <v>480</v>
      </c>
      <c r="L116" s="48">
        <f t="shared" si="30"/>
        <v>0</v>
      </c>
      <c r="M116" s="49">
        <f t="shared" si="30"/>
        <v>480</v>
      </c>
      <c r="N116" s="6"/>
      <c r="O116" s="6"/>
      <c r="P116" s="6"/>
      <c r="T116" s="36"/>
      <c r="U116" s="40">
        <f>U117</f>
        <v>480</v>
      </c>
      <c r="AC116" s="31"/>
      <c r="AD116" s="23">
        <f t="shared" si="1"/>
        <v>480</v>
      </c>
      <c r="AE116" s="26">
        <f t="shared" si="31"/>
        <v>480</v>
      </c>
    </row>
    <row r="117" spans="1:31" ht="68.25" customHeight="1">
      <c r="A117" s="27"/>
      <c r="B117" s="59" t="s">
        <v>187</v>
      </c>
      <c r="C117" s="89" t="s">
        <v>30</v>
      </c>
      <c r="D117" s="89" t="s">
        <v>160</v>
      </c>
      <c r="E117" s="88" t="s">
        <v>188</v>
      </c>
      <c r="F117" s="89"/>
      <c r="G117" s="40">
        <f>G118</f>
        <v>380</v>
      </c>
      <c r="H117" s="41"/>
      <c r="I117" s="42">
        <f>I118</f>
        <v>380</v>
      </c>
      <c r="J117" s="40">
        <f>J118+J120</f>
        <v>100</v>
      </c>
      <c r="K117" s="48">
        <f>K118+K120</f>
        <v>480</v>
      </c>
      <c r="L117" s="48">
        <f>L118+L120</f>
        <v>0</v>
      </c>
      <c r="M117" s="49">
        <f>M118+M120</f>
        <v>480</v>
      </c>
      <c r="N117" s="6"/>
      <c r="O117" s="6"/>
      <c r="P117" s="6"/>
      <c r="T117" s="36"/>
      <c r="U117" s="40">
        <f>U118+U120</f>
        <v>480</v>
      </c>
      <c r="AC117" s="31"/>
      <c r="AD117" s="23">
        <f t="shared" si="1"/>
        <v>480</v>
      </c>
      <c r="AE117" s="26">
        <f t="shared" si="31"/>
        <v>480</v>
      </c>
    </row>
    <row r="118" spans="1:31" ht="100.5" customHeight="1">
      <c r="A118" s="27"/>
      <c r="B118" s="50" t="s">
        <v>189</v>
      </c>
      <c r="C118" s="89" t="s">
        <v>30</v>
      </c>
      <c r="D118" s="89" t="s">
        <v>160</v>
      </c>
      <c r="E118" s="88" t="s">
        <v>190</v>
      </c>
      <c r="F118" s="89" t="s">
        <v>28</v>
      </c>
      <c r="G118" s="40">
        <v>380</v>
      </c>
      <c r="H118" s="41"/>
      <c r="I118" s="42">
        <v>380</v>
      </c>
      <c r="J118" s="40"/>
      <c r="K118" s="48">
        <v>380</v>
      </c>
      <c r="L118" s="48"/>
      <c r="M118" s="49">
        <v>380</v>
      </c>
      <c r="N118" s="6"/>
      <c r="O118" s="6"/>
      <c r="P118" s="6"/>
      <c r="T118" s="36"/>
      <c r="U118" s="40">
        <v>380</v>
      </c>
      <c r="AC118" s="31"/>
      <c r="AD118" s="23">
        <f t="shared" si="1"/>
        <v>380</v>
      </c>
      <c r="AE118" s="26">
        <f t="shared" si="31"/>
        <v>380</v>
      </c>
    </row>
    <row r="119" spans="1:31" ht="36" customHeight="1">
      <c r="A119" s="27"/>
      <c r="B119" s="97" t="s">
        <v>126</v>
      </c>
      <c r="C119" s="115" t="s">
        <v>30</v>
      </c>
      <c r="D119" s="111" t="s">
        <v>160</v>
      </c>
      <c r="E119" s="116" t="s">
        <v>190</v>
      </c>
      <c r="F119" s="89" t="s">
        <v>28</v>
      </c>
      <c r="G119" s="40">
        <v>72.2</v>
      </c>
      <c r="H119" s="41"/>
      <c r="I119" s="42">
        <v>72.2</v>
      </c>
      <c r="J119" s="40"/>
      <c r="K119" s="48">
        <v>72.2</v>
      </c>
      <c r="L119" s="48"/>
      <c r="M119" s="49">
        <v>72.2</v>
      </c>
      <c r="N119" s="6"/>
      <c r="O119" s="6"/>
      <c r="P119" s="6"/>
      <c r="T119" s="36"/>
      <c r="U119" s="40">
        <v>72.2</v>
      </c>
      <c r="AC119" s="31"/>
      <c r="AD119" s="23">
        <f t="shared" si="1"/>
        <v>72.2</v>
      </c>
      <c r="AE119" s="26">
        <f t="shared" si="31"/>
        <v>72.2</v>
      </c>
    </row>
    <row r="120" spans="1:31" ht="84.75" customHeight="1">
      <c r="A120" s="27"/>
      <c r="B120" s="98" t="s">
        <v>191</v>
      </c>
      <c r="C120" s="115" t="s">
        <v>30</v>
      </c>
      <c r="D120" s="111" t="s">
        <v>160</v>
      </c>
      <c r="E120" s="116" t="s">
        <v>192</v>
      </c>
      <c r="F120" s="89" t="s">
        <v>28</v>
      </c>
      <c r="G120" s="40">
        <v>0</v>
      </c>
      <c r="H120" s="41">
        <v>0</v>
      </c>
      <c r="I120" s="42">
        <v>0</v>
      </c>
      <c r="J120" s="40">
        <f>100</f>
        <v>100</v>
      </c>
      <c r="K120" s="48">
        <f>100</f>
        <v>100</v>
      </c>
      <c r="L120" s="48">
        <v>0</v>
      </c>
      <c r="M120" s="49">
        <f>100</f>
        <v>100</v>
      </c>
      <c r="N120" s="6"/>
      <c r="O120" s="6"/>
      <c r="P120" s="6"/>
      <c r="T120" s="36"/>
      <c r="U120" s="40">
        <f>100</f>
        <v>100</v>
      </c>
      <c r="AC120" s="31"/>
      <c r="AD120" s="23">
        <f t="shared" si="1"/>
        <v>100</v>
      </c>
      <c r="AE120" s="26">
        <f t="shared" si="31"/>
        <v>100</v>
      </c>
    </row>
    <row r="121" spans="1:31" ht="36" customHeight="1">
      <c r="A121" s="27"/>
      <c r="B121" s="117" t="s">
        <v>193</v>
      </c>
      <c r="C121" s="69" t="s">
        <v>194</v>
      </c>
      <c r="D121" s="69"/>
      <c r="E121" s="56"/>
      <c r="F121" s="55"/>
      <c r="G121" s="23" t="e">
        <f>G122+G136+G165+G195</f>
        <v>#REF!</v>
      </c>
      <c r="H121" s="16">
        <f>H122+H136+H165+H195</f>
        <v>252337.30770999994</v>
      </c>
      <c r="I121" s="17" t="e">
        <f>G121+H121</f>
        <v>#REF!</v>
      </c>
      <c r="J121" s="16">
        <f>J122+J136+J165+J195</f>
        <v>784.55296</v>
      </c>
      <c r="K121" s="18" t="e">
        <f>I121+J121</f>
        <v>#REF!</v>
      </c>
      <c r="L121" s="18">
        <f>L122+L136+L165+L195</f>
        <v>8426.769760000001</v>
      </c>
      <c r="M121" s="24">
        <f>M122+M136+M165+M195</f>
        <v>277735.83043</v>
      </c>
      <c r="N121" s="6"/>
      <c r="O121" s="6"/>
      <c r="P121" s="6"/>
      <c r="T121" s="78">
        <f>T122+T136+T165+T195</f>
        <v>-3393.54024</v>
      </c>
      <c r="U121" s="16">
        <f>U122+U136+U165+U195</f>
        <v>274342.29018999997</v>
      </c>
      <c r="AC121" s="25">
        <f>AC122+AC136+AC165+AC195</f>
        <v>20726.8</v>
      </c>
      <c r="AD121" s="16">
        <f t="shared" si="1"/>
        <v>295069.09018999996</v>
      </c>
      <c r="AE121" s="26">
        <v>157763.4</v>
      </c>
    </row>
    <row r="122" spans="1:31" ht="19.5" customHeight="1">
      <c r="A122" s="27"/>
      <c r="B122" s="20" t="s">
        <v>195</v>
      </c>
      <c r="C122" s="69" t="s">
        <v>194</v>
      </c>
      <c r="D122" s="69" t="s">
        <v>14</v>
      </c>
      <c r="E122" s="70"/>
      <c r="F122" s="69"/>
      <c r="G122" s="23" t="e">
        <f>G123+G133</f>
        <v>#REF!</v>
      </c>
      <c r="H122" s="16">
        <f>H123+H133</f>
        <v>245396.08169999995</v>
      </c>
      <c r="I122" s="17" t="e">
        <f>G122+H122</f>
        <v>#REF!</v>
      </c>
      <c r="J122" s="16">
        <f>J123+J133</f>
        <v>156.5</v>
      </c>
      <c r="K122" s="18" t="e">
        <f>I122+J122</f>
        <v>#REF!</v>
      </c>
      <c r="L122" s="18">
        <f>L123+L133</f>
        <v>2574.9030000000002</v>
      </c>
      <c r="M122" s="24">
        <f>M123+M133</f>
        <v>249865.88469999997</v>
      </c>
      <c r="N122" s="6"/>
      <c r="O122" s="6"/>
      <c r="P122" s="6"/>
      <c r="T122" s="78">
        <f>T123+T133</f>
        <v>-3389.94811</v>
      </c>
      <c r="U122" s="16">
        <f>U123+U133</f>
        <v>246475.93658999994</v>
      </c>
      <c r="AC122" s="31"/>
      <c r="AD122" s="16">
        <f t="shared" si="1"/>
        <v>246475.93658999994</v>
      </c>
      <c r="AE122" s="26">
        <f>AE123+AE133</f>
        <v>113212.81411</v>
      </c>
    </row>
    <row r="123" spans="1:31" ht="99.75" customHeight="1">
      <c r="A123" s="27"/>
      <c r="B123" s="20" t="s">
        <v>196</v>
      </c>
      <c r="C123" s="113" t="s">
        <v>194</v>
      </c>
      <c r="D123" s="113" t="s">
        <v>14</v>
      </c>
      <c r="E123" s="114" t="s">
        <v>160</v>
      </c>
      <c r="F123" s="55"/>
      <c r="G123" s="23" t="e">
        <f>G124+G129</f>
        <v>#REF!</v>
      </c>
      <c r="H123" s="16">
        <f>H124+H129</f>
        <v>245354.08169999995</v>
      </c>
      <c r="I123" s="17" t="e">
        <f>G123+H123</f>
        <v>#REF!</v>
      </c>
      <c r="J123" s="16">
        <f>J124+J129</f>
        <v>156.5</v>
      </c>
      <c r="K123" s="18" t="e">
        <f>I123+J123</f>
        <v>#REF!</v>
      </c>
      <c r="L123" s="118">
        <f>L124+L129</f>
        <v>2574.9030000000002</v>
      </c>
      <c r="M123" s="24">
        <f>M124+M129</f>
        <v>248965.48469999997</v>
      </c>
      <c r="N123" s="6"/>
      <c r="O123" s="6"/>
      <c r="P123" s="6"/>
      <c r="T123" s="78">
        <f>T124+T129</f>
        <v>-3339.28889</v>
      </c>
      <c r="U123" s="16">
        <f>U124+U129</f>
        <v>245626.19580999995</v>
      </c>
      <c r="AC123" s="31"/>
      <c r="AD123" s="16">
        <f t="shared" si="1"/>
        <v>245626.19580999995</v>
      </c>
      <c r="AE123" s="26">
        <f>AE124+AE129</f>
        <v>112376.51411</v>
      </c>
    </row>
    <row r="124" spans="1:31" ht="70.5" customHeight="1">
      <c r="A124" s="27"/>
      <c r="B124" s="20" t="s">
        <v>197</v>
      </c>
      <c r="C124" s="89" t="s">
        <v>194</v>
      </c>
      <c r="D124" s="89" t="s">
        <v>14</v>
      </c>
      <c r="E124" s="88" t="s">
        <v>198</v>
      </c>
      <c r="F124" s="89"/>
      <c r="G124" s="40" t="e">
        <f>#REF!+#REF!+#REF!+G125</f>
        <v>#REF!</v>
      </c>
      <c r="H124" s="40">
        <f>H125</f>
        <v>-763.1</v>
      </c>
      <c r="I124" s="40" t="e">
        <f>#REF!+#REF!+#REF!+I125</f>
        <v>#REF!</v>
      </c>
      <c r="J124" s="40">
        <f>J125</f>
        <v>156.5</v>
      </c>
      <c r="K124" s="48">
        <f>K125</f>
        <v>273.4</v>
      </c>
      <c r="L124" s="43">
        <f>L125</f>
        <v>2574.9030000000002</v>
      </c>
      <c r="M124" s="45">
        <f>M125</f>
        <v>2848.3030000000003</v>
      </c>
      <c r="N124" s="6"/>
      <c r="O124" s="6"/>
      <c r="P124" s="6"/>
      <c r="T124" s="58">
        <f>T125</f>
        <v>-28.588889999999992</v>
      </c>
      <c r="U124" s="41">
        <f>U125</f>
        <v>2819.7141100000003</v>
      </c>
      <c r="AC124" s="31"/>
      <c r="AD124" s="16">
        <f t="shared" si="1"/>
        <v>2819.7141100000003</v>
      </c>
      <c r="AE124" s="26">
        <f>AE125</f>
        <v>2731.01411</v>
      </c>
    </row>
    <row r="125" spans="1:31" ht="69.75" customHeight="1">
      <c r="A125" s="27"/>
      <c r="B125" s="119" t="s">
        <v>199</v>
      </c>
      <c r="C125" s="89" t="s">
        <v>194</v>
      </c>
      <c r="D125" s="89" t="s">
        <v>14</v>
      </c>
      <c r="E125" s="88" t="s">
        <v>200</v>
      </c>
      <c r="F125" s="89"/>
      <c r="G125" s="40">
        <f>G126</f>
        <v>880</v>
      </c>
      <c r="H125" s="40">
        <f>H126+H128</f>
        <v>-763.1</v>
      </c>
      <c r="I125" s="40">
        <f>G125+H125</f>
        <v>116.89999999999998</v>
      </c>
      <c r="J125" s="40">
        <f>J126+J128</f>
        <v>156.5</v>
      </c>
      <c r="K125" s="48">
        <f>I125+J125</f>
        <v>273.4</v>
      </c>
      <c r="L125" s="43">
        <f>L126+L128+L127</f>
        <v>2574.9030000000002</v>
      </c>
      <c r="M125" s="45">
        <f aca="true" t="shared" si="32" ref="M125:M132">K125+L125</f>
        <v>2848.3030000000003</v>
      </c>
      <c r="N125" s="6"/>
      <c r="O125" s="6"/>
      <c r="P125" s="6"/>
      <c r="T125" s="58">
        <f>T126+T127+T128</f>
        <v>-28.588889999999992</v>
      </c>
      <c r="U125" s="41">
        <f aca="true" t="shared" si="33" ref="U125:U132">M125+T125</f>
        <v>2819.7141100000003</v>
      </c>
      <c r="AC125" s="31"/>
      <c r="AD125" s="16">
        <f t="shared" si="1"/>
        <v>2819.7141100000003</v>
      </c>
      <c r="AE125" s="26">
        <f>AE126+AE127+AE128</f>
        <v>2731.01411</v>
      </c>
    </row>
    <row r="126" spans="1:31" ht="117" customHeight="1">
      <c r="A126" s="27"/>
      <c r="B126" s="119" t="s">
        <v>201</v>
      </c>
      <c r="C126" s="89" t="s">
        <v>194</v>
      </c>
      <c r="D126" s="89" t="s">
        <v>14</v>
      </c>
      <c r="E126" s="88" t="s">
        <v>202</v>
      </c>
      <c r="F126" s="89" t="s">
        <v>28</v>
      </c>
      <c r="G126" s="40">
        <f>80+800</f>
        <v>880</v>
      </c>
      <c r="H126" s="40">
        <f>-800</f>
        <v>-800</v>
      </c>
      <c r="I126" s="40">
        <f>G126+H126</f>
        <v>80</v>
      </c>
      <c r="J126" s="40">
        <f>0-17</f>
        <v>-17</v>
      </c>
      <c r="K126" s="48">
        <f>I126+J126</f>
        <v>63</v>
      </c>
      <c r="L126" s="48">
        <v>0</v>
      </c>
      <c r="M126" s="49">
        <f t="shared" si="32"/>
        <v>63</v>
      </c>
      <c r="N126" s="6"/>
      <c r="O126" s="6"/>
      <c r="P126" s="6"/>
      <c r="T126" s="36">
        <v>-3</v>
      </c>
      <c r="U126" s="40">
        <f t="shared" si="33"/>
        <v>60</v>
      </c>
      <c r="W126" t="s">
        <v>203</v>
      </c>
      <c r="AC126" s="31"/>
      <c r="AD126" s="23">
        <f>U126+AC126+88.7</f>
        <v>148.7</v>
      </c>
      <c r="AE126" s="26">
        <v>60</v>
      </c>
    </row>
    <row r="127" spans="1:31" ht="117" customHeight="1">
      <c r="A127" s="27"/>
      <c r="B127" s="119" t="s">
        <v>204</v>
      </c>
      <c r="C127" s="89" t="s">
        <v>194</v>
      </c>
      <c r="D127" s="89" t="s">
        <v>14</v>
      </c>
      <c r="E127" s="88" t="s">
        <v>202</v>
      </c>
      <c r="F127" s="89" t="s">
        <v>205</v>
      </c>
      <c r="G127" s="40"/>
      <c r="H127" s="40"/>
      <c r="I127" s="40"/>
      <c r="J127" s="40"/>
      <c r="K127" s="48">
        <v>0</v>
      </c>
      <c r="L127" s="53">
        <f>1200.243+1220+30.9</f>
        <v>2451.143</v>
      </c>
      <c r="M127" s="120">
        <f t="shared" si="32"/>
        <v>2451.143</v>
      </c>
      <c r="N127" s="6" t="s">
        <v>206</v>
      </c>
      <c r="O127" s="6"/>
      <c r="P127" s="6"/>
      <c r="T127" s="67">
        <f>118.667</f>
        <v>118.667</v>
      </c>
      <c r="U127" s="121">
        <f t="shared" si="33"/>
        <v>2569.81</v>
      </c>
      <c r="W127" t="s">
        <v>207</v>
      </c>
      <c r="AC127" s="31"/>
      <c r="AD127" s="23">
        <f>U127+AC127</f>
        <v>2569.81</v>
      </c>
      <c r="AE127" s="26">
        <f>V127+AD127</f>
        <v>2569.81</v>
      </c>
    </row>
    <row r="128" spans="1:31" ht="99.75" customHeight="1">
      <c r="A128" s="27"/>
      <c r="B128" s="52" t="s">
        <v>208</v>
      </c>
      <c r="C128" s="89" t="s">
        <v>194</v>
      </c>
      <c r="D128" s="89" t="s">
        <v>14</v>
      </c>
      <c r="E128" s="88" t="s">
        <v>202</v>
      </c>
      <c r="F128" s="89" t="s">
        <v>42</v>
      </c>
      <c r="G128" s="40">
        <v>0</v>
      </c>
      <c r="H128" s="46">
        <v>36.9</v>
      </c>
      <c r="I128" s="46">
        <f>G128+H128</f>
        <v>36.9</v>
      </c>
      <c r="J128" s="46">
        <f>17+156.5</f>
        <v>173.5</v>
      </c>
      <c r="K128" s="48">
        <f>I128+J128</f>
        <v>210.4</v>
      </c>
      <c r="L128" s="43">
        <f>47.503+76.2+0.057</f>
        <v>123.76</v>
      </c>
      <c r="M128" s="45">
        <f t="shared" si="32"/>
        <v>334.16</v>
      </c>
      <c r="N128" s="6" t="s">
        <v>209</v>
      </c>
      <c r="O128" s="6"/>
      <c r="P128" s="6" t="s">
        <v>210</v>
      </c>
      <c r="T128" s="58">
        <f>-68.00778-76.24811</f>
        <v>-144.25589</v>
      </c>
      <c r="U128" s="41">
        <f t="shared" si="33"/>
        <v>189.90411000000003</v>
      </c>
      <c r="W128" t="s">
        <v>211</v>
      </c>
      <c r="Y128" t="s">
        <v>212</v>
      </c>
      <c r="AC128" s="31"/>
      <c r="AD128" s="16">
        <f>U128+AC128-88.7</f>
        <v>101.20411000000003</v>
      </c>
      <c r="AE128" s="26">
        <f>V128+AD128</f>
        <v>101.20411000000003</v>
      </c>
    </row>
    <row r="129" spans="1:31" ht="99.75" customHeight="1">
      <c r="A129" s="27"/>
      <c r="B129" s="37" t="s">
        <v>213</v>
      </c>
      <c r="C129" s="89" t="s">
        <v>194</v>
      </c>
      <c r="D129" s="89" t="s">
        <v>14</v>
      </c>
      <c r="E129" s="122" t="s">
        <v>214</v>
      </c>
      <c r="F129" s="89"/>
      <c r="G129" s="40">
        <v>0</v>
      </c>
      <c r="H129" s="41">
        <f>H130+H131+H132</f>
        <v>246117.18169999996</v>
      </c>
      <c r="I129" s="42">
        <f>G129+H129</f>
        <v>246117.18169999996</v>
      </c>
      <c r="J129" s="41">
        <f>J130+J131+J132</f>
        <v>0</v>
      </c>
      <c r="K129" s="44">
        <f>I129+J129</f>
        <v>246117.18169999996</v>
      </c>
      <c r="L129" s="44">
        <f>L130+L131+L132</f>
        <v>0</v>
      </c>
      <c r="M129" s="95">
        <f t="shared" si="32"/>
        <v>246117.18169999996</v>
      </c>
      <c r="N129" s="6"/>
      <c r="O129" s="6"/>
      <c r="P129" s="6"/>
      <c r="T129" s="36">
        <f>T130+T131+T132</f>
        <v>-3310.7</v>
      </c>
      <c r="U129" s="41">
        <f t="shared" si="33"/>
        <v>242806.48169999995</v>
      </c>
      <c r="AC129" s="31"/>
      <c r="AD129" s="16">
        <f aca="true" t="shared" si="34" ref="AD129:AD140">U129+AC129</f>
        <v>242806.48169999995</v>
      </c>
      <c r="AE129" s="26">
        <f>AE130+AE131+AE132</f>
        <v>109645.5</v>
      </c>
    </row>
    <row r="130" spans="1:31" ht="129" customHeight="1">
      <c r="A130" s="27"/>
      <c r="B130" s="52" t="s">
        <v>215</v>
      </c>
      <c r="C130" s="89" t="s">
        <v>194</v>
      </c>
      <c r="D130" s="89" t="s">
        <v>14</v>
      </c>
      <c r="E130" s="122" t="s">
        <v>216</v>
      </c>
      <c r="F130" s="89" t="s">
        <v>205</v>
      </c>
      <c r="G130" s="40">
        <v>0</v>
      </c>
      <c r="H130" s="41">
        <f>107133.0817+134084.8</f>
        <v>241217.88169999997</v>
      </c>
      <c r="I130" s="42">
        <f>G130+H130</f>
        <v>241217.88169999997</v>
      </c>
      <c r="J130" s="41">
        <v>0</v>
      </c>
      <c r="K130" s="44">
        <f>I130+J130</f>
        <v>241217.88169999997</v>
      </c>
      <c r="L130" s="44">
        <v>0</v>
      </c>
      <c r="M130" s="95">
        <f t="shared" si="32"/>
        <v>241217.88169999997</v>
      </c>
      <c r="N130" s="6"/>
      <c r="O130" s="6"/>
      <c r="P130" s="6"/>
      <c r="T130" s="36">
        <v>-3244.5</v>
      </c>
      <c r="U130" s="41">
        <f t="shared" si="33"/>
        <v>237973.38169999997</v>
      </c>
      <c r="W130" t="s">
        <v>217</v>
      </c>
      <c r="AC130" s="31"/>
      <c r="AD130" s="16">
        <f t="shared" si="34"/>
        <v>237973.38169999997</v>
      </c>
      <c r="AE130" s="26">
        <v>107475.6</v>
      </c>
    </row>
    <row r="131" spans="1:31" ht="96.75" customHeight="1">
      <c r="A131" s="27"/>
      <c r="B131" s="52" t="s">
        <v>218</v>
      </c>
      <c r="C131" s="89" t="s">
        <v>194</v>
      </c>
      <c r="D131" s="89" t="s">
        <v>14</v>
      </c>
      <c r="E131" s="122" t="s">
        <v>219</v>
      </c>
      <c r="F131" s="89" t="s">
        <v>205</v>
      </c>
      <c r="G131" s="40">
        <v>0</v>
      </c>
      <c r="H131" s="41">
        <f>1622.2+2052.3</f>
        <v>3674.5</v>
      </c>
      <c r="I131" s="42">
        <f>G131+H131</f>
        <v>3674.5</v>
      </c>
      <c r="J131" s="41">
        <v>0</v>
      </c>
      <c r="K131" s="48">
        <f>I131+J131</f>
        <v>3674.5</v>
      </c>
      <c r="L131" s="44">
        <v>0</v>
      </c>
      <c r="M131" s="49">
        <f t="shared" si="32"/>
        <v>3674.5</v>
      </c>
      <c r="N131" s="6"/>
      <c r="O131" s="6"/>
      <c r="P131" s="6"/>
      <c r="T131" s="36">
        <f>-49.7</f>
        <v>-49.7</v>
      </c>
      <c r="U131" s="40">
        <f t="shared" si="33"/>
        <v>3624.8</v>
      </c>
      <c r="W131" t="s">
        <v>220</v>
      </c>
      <c r="AC131" s="31"/>
      <c r="AD131" s="23">
        <f t="shared" si="34"/>
        <v>3624.8</v>
      </c>
      <c r="AE131" s="26">
        <v>1627.4</v>
      </c>
    </row>
    <row r="132" spans="1:31" ht="110.25">
      <c r="A132" s="27"/>
      <c r="B132" s="52" t="s">
        <v>221</v>
      </c>
      <c r="C132" s="89" t="s">
        <v>194</v>
      </c>
      <c r="D132" s="89" t="s">
        <v>14</v>
      </c>
      <c r="E132" s="122" t="s">
        <v>222</v>
      </c>
      <c r="F132" s="89" t="s">
        <v>205</v>
      </c>
      <c r="G132" s="40">
        <v>0</v>
      </c>
      <c r="H132" s="41">
        <f>800-259.3+684.1</f>
        <v>1224.8000000000002</v>
      </c>
      <c r="I132" s="42">
        <f>G132+H132</f>
        <v>1224.8000000000002</v>
      </c>
      <c r="J132" s="41">
        <v>0</v>
      </c>
      <c r="K132" s="48">
        <f>I132+J132</f>
        <v>1224.8000000000002</v>
      </c>
      <c r="L132" s="44">
        <v>0</v>
      </c>
      <c r="M132" s="49">
        <f t="shared" si="32"/>
        <v>1224.8000000000002</v>
      </c>
      <c r="N132" s="6"/>
      <c r="O132" s="6"/>
      <c r="P132" s="6"/>
      <c r="T132" s="36">
        <v>-16.5</v>
      </c>
      <c r="U132" s="40">
        <f t="shared" si="33"/>
        <v>1208.3000000000002</v>
      </c>
      <c r="W132" t="s">
        <v>223</v>
      </c>
      <c r="AC132" s="31"/>
      <c r="AD132" s="23">
        <f t="shared" si="34"/>
        <v>1208.3000000000002</v>
      </c>
      <c r="AE132" s="26">
        <v>542.5</v>
      </c>
    </row>
    <row r="133" spans="1:31" ht="54" customHeight="1">
      <c r="A133" s="27"/>
      <c r="B133" s="20" t="s">
        <v>224</v>
      </c>
      <c r="C133" s="69" t="s">
        <v>194</v>
      </c>
      <c r="D133" s="69" t="s">
        <v>14</v>
      </c>
      <c r="E133" s="70" t="s">
        <v>50</v>
      </c>
      <c r="F133" s="69"/>
      <c r="G133" s="23">
        <f aca="true" t="shared" si="35" ref="G133:M134">G134</f>
        <v>858.4</v>
      </c>
      <c r="H133" s="16">
        <f t="shared" si="35"/>
        <v>42</v>
      </c>
      <c r="I133" s="17">
        <f t="shared" si="35"/>
        <v>900.4</v>
      </c>
      <c r="J133" s="16">
        <f t="shared" si="35"/>
        <v>0</v>
      </c>
      <c r="K133" s="29">
        <f t="shared" si="35"/>
        <v>900.4</v>
      </c>
      <c r="L133" s="18">
        <f t="shared" si="35"/>
        <v>0</v>
      </c>
      <c r="M133" s="30">
        <f t="shared" si="35"/>
        <v>900.4</v>
      </c>
      <c r="N133" s="6"/>
      <c r="O133" s="6"/>
      <c r="P133" s="6"/>
      <c r="T133" s="78">
        <f>T134</f>
        <v>-50.65922</v>
      </c>
      <c r="U133" s="16">
        <f>U134</f>
        <v>849.74078</v>
      </c>
      <c r="AC133" s="31"/>
      <c r="AD133" s="16">
        <f t="shared" si="34"/>
        <v>849.74078</v>
      </c>
      <c r="AE133" s="26">
        <f>AE134</f>
        <v>836.3</v>
      </c>
    </row>
    <row r="134" spans="1:31" ht="60" customHeight="1">
      <c r="A134" s="27"/>
      <c r="B134" s="59" t="s">
        <v>225</v>
      </c>
      <c r="C134" s="55" t="s">
        <v>194</v>
      </c>
      <c r="D134" s="55" t="s">
        <v>14</v>
      </c>
      <c r="E134" s="56" t="s">
        <v>226</v>
      </c>
      <c r="F134" s="55"/>
      <c r="G134" s="40">
        <f t="shared" si="35"/>
        <v>858.4</v>
      </c>
      <c r="H134" s="41">
        <f t="shared" si="35"/>
        <v>42</v>
      </c>
      <c r="I134" s="42">
        <f t="shared" si="35"/>
        <v>900.4</v>
      </c>
      <c r="J134" s="41">
        <f t="shared" si="35"/>
        <v>0</v>
      </c>
      <c r="K134" s="48">
        <f t="shared" si="35"/>
        <v>900.4</v>
      </c>
      <c r="L134" s="44">
        <f t="shared" si="35"/>
        <v>0</v>
      </c>
      <c r="M134" s="49">
        <f t="shared" si="35"/>
        <v>900.4</v>
      </c>
      <c r="N134" s="6"/>
      <c r="O134" s="6"/>
      <c r="P134" s="6"/>
      <c r="T134" s="58">
        <f>T135</f>
        <v>-50.65922</v>
      </c>
      <c r="U134" s="41">
        <f>U135</f>
        <v>849.74078</v>
      </c>
      <c r="AC134" s="31"/>
      <c r="AD134" s="16">
        <f t="shared" si="34"/>
        <v>849.74078</v>
      </c>
      <c r="AE134" s="26">
        <f>AE135</f>
        <v>836.3</v>
      </c>
    </row>
    <row r="135" spans="1:31" ht="78.75">
      <c r="A135" s="27"/>
      <c r="B135" s="37" t="s">
        <v>227</v>
      </c>
      <c r="C135" s="55" t="s">
        <v>194</v>
      </c>
      <c r="D135" s="55" t="s">
        <v>14</v>
      </c>
      <c r="E135" s="56" t="s">
        <v>228</v>
      </c>
      <c r="F135" s="55" t="s">
        <v>28</v>
      </c>
      <c r="G135" s="40">
        <v>858.4</v>
      </c>
      <c r="H135" s="41">
        <v>42</v>
      </c>
      <c r="I135" s="42">
        <f>G135+H135</f>
        <v>900.4</v>
      </c>
      <c r="J135" s="41">
        <v>0</v>
      </c>
      <c r="K135" s="48">
        <f>I135+J135</f>
        <v>900.4</v>
      </c>
      <c r="L135" s="44">
        <v>0</v>
      </c>
      <c r="M135" s="49">
        <f>K135+L135</f>
        <v>900.4</v>
      </c>
      <c r="N135" s="6"/>
      <c r="O135" s="6"/>
      <c r="P135" s="6"/>
      <c r="T135" s="58">
        <f>-50.65922</f>
        <v>-50.65922</v>
      </c>
      <c r="U135" s="41">
        <f>M135+T135</f>
        <v>849.74078</v>
      </c>
      <c r="W135" t="s">
        <v>229</v>
      </c>
      <c r="AC135" s="31"/>
      <c r="AD135" s="16">
        <f t="shared" si="34"/>
        <v>849.74078</v>
      </c>
      <c r="AE135" s="26">
        <v>836.3</v>
      </c>
    </row>
    <row r="136" spans="1:31" ht="18" customHeight="1">
      <c r="A136" s="27"/>
      <c r="B136" s="123" t="s">
        <v>230</v>
      </c>
      <c r="C136" s="124" t="s">
        <v>194</v>
      </c>
      <c r="D136" s="124" t="s">
        <v>16</v>
      </c>
      <c r="E136" s="125"/>
      <c r="F136" s="69"/>
      <c r="G136" s="23">
        <f>G153+G158</f>
        <v>400</v>
      </c>
      <c r="H136" s="16">
        <f>H153+H158+H141+H144</f>
        <v>5681.010010000001</v>
      </c>
      <c r="I136" s="17">
        <f>I153+I158+I141+I144</f>
        <v>6081.010010000001</v>
      </c>
      <c r="J136" s="16">
        <f>J153+J158+J141+J144</f>
        <v>0</v>
      </c>
      <c r="K136" s="18">
        <f>K153+K158+K141+K144</f>
        <v>6081.010010000001</v>
      </c>
      <c r="L136" s="18">
        <f aca="true" t="shared" si="36" ref="L136:S136">L137+L144+L153+L158</f>
        <v>4309.21764</v>
      </c>
      <c r="M136" s="24">
        <f t="shared" si="36"/>
        <v>10390.22765</v>
      </c>
      <c r="N136" s="24">
        <f t="shared" si="36"/>
        <v>0</v>
      </c>
      <c r="O136" s="24">
        <f t="shared" si="36"/>
        <v>0</v>
      </c>
      <c r="P136" s="24">
        <f t="shared" si="36"/>
        <v>0</v>
      </c>
      <c r="Q136" s="24">
        <f t="shared" si="36"/>
        <v>0</v>
      </c>
      <c r="R136" s="24">
        <f t="shared" si="36"/>
        <v>0</v>
      </c>
      <c r="S136" s="24">
        <f t="shared" si="36"/>
        <v>0</v>
      </c>
      <c r="T136" s="16">
        <f>T137+T144+T153+T158+T161</f>
        <v>-3.5921299999999974</v>
      </c>
      <c r="U136" s="16">
        <f>M136+T136</f>
        <v>10386.63552</v>
      </c>
      <c r="AC136" s="25">
        <f>AC161</f>
        <v>20726.8</v>
      </c>
      <c r="AD136" s="16">
        <f t="shared" si="34"/>
        <v>31113.43552</v>
      </c>
      <c r="AE136" s="26">
        <f>AE137+AE144+AE153+AE161+AE158</f>
        <v>27466.84045</v>
      </c>
    </row>
    <row r="137" spans="1:31" ht="105.75" customHeight="1">
      <c r="A137" s="27"/>
      <c r="B137" s="20" t="s">
        <v>76</v>
      </c>
      <c r="C137" s="55" t="s">
        <v>194</v>
      </c>
      <c r="D137" s="55" t="s">
        <v>16</v>
      </c>
      <c r="E137" s="56" t="s">
        <v>25</v>
      </c>
      <c r="F137" s="55"/>
      <c r="G137" s="23">
        <v>0</v>
      </c>
      <c r="H137" s="16">
        <f>H141</f>
        <v>4088.3</v>
      </c>
      <c r="I137" s="17">
        <f>G137+H137</f>
        <v>4088.3</v>
      </c>
      <c r="J137" s="16">
        <f>J141</f>
        <v>0</v>
      </c>
      <c r="K137" s="29">
        <f>I137+J137</f>
        <v>4088.3</v>
      </c>
      <c r="L137" s="18">
        <f>L141+L138</f>
        <v>4347.05088</v>
      </c>
      <c r="M137" s="24">
        <f>K137+L137</f>
        <v>8435.35088</v>
      </c>
      <c r="N137" s="6"/>
      <c r="O137" s="6"/>
      <c r="P137" s="6"/>
      <c r="T137" s="67">
        <f>T138+T141</f>
        <v>-111.724</v>
      </c>
      <c r="U137" s="16">
        <f>M137+T137</f>
        <v>8323.62688</v>
      </c>
      <c r="AC137" s="31"/>
      <c r="AD137" s="16">
        <f t="shared" si="34"/>
        <v>8323.62688</v>
      </c>
      <c r="AE137" s="26">
        <f>AE141</f>
        <v>4823.62688</v>
      </c>
    </row>
    <row r="138" spans="1:31" ht="36.75" customHeight="1" hidden="1">
      <c r="A138" s="27"/>
      <c r="B138" s="20" t="s">
        <v>77</v>
      </c>
      <c r="C138" s="55" t="s">
        <v>194</v>
      </c>
      <c r="D138" s="55" t="s">
        <v>16</v>
      </c>
      <c r="E138" s="56" t="s">
        <v>78</v>
      </c>
      <c r="F138" s="55"/>
      <c r="G138" s="23"/>
      <c r="H138" s="16"/>
      <c r="I138" s="17"/>
      <c r="J138" s="16"/>
      <c r="K138" s="29"/>
      <c r="L138" s="29">
        <f>L139</f>
        <v>3500</v>
      </c>
      <c r="M138" s="30">
        <f>L138</f>
        <v>3500</v>
      </c>
      <c r="N138" s="6" t="s">
        <v>231</v>
      </c>
      <c r="O138" s="6"/>
      <c r="P138" s="6"/>
      <c r="T138" s="36">
        <f>T139</f>
        <v>0</v>
      </c>
      <c r="U138" s="23">
        <f>M138</f>
        <v>3500</v>
      </c>
      <c r="AC138" s="31"/>
      <c r="AD138" s="23">
        <f t="shared" si="34"/>
        <v>3500</v>
      </c>
      <c r="AE138" s="23">
        <f>AE139</f>
        <v>0</v>
      </c>
    </row>
    <row r="139" spans="1:31" ht="81" customHeight="1" hidden="1">
      <c r="A139" s="27"/>
      <c r="B139" s="20" t="s">
        <v>79</v>
      </c>
      <c r="C139" s="55" t="s">
        <v>194</v>
      </c>
      <c r="D139" s="55" t="s">
        <v>16</v>
      </c>
      <c r="E139" s="56" t="s">
        <v>80</v>
      </c>
      <c r="F139" s="55" t="s">
        <v>28</v>
      </c>
      <c r="G139" s="23"/>
      <c r="H139" s="16"/>
      <c r="I139" s="17"/>
      <c r="J139" s="16"/>
      <c r="K139" s="29"/>
      <c r="L139" s="29">
        <v>3500</v>
      </c>
      <c r="M139" s="30">
        <f>K139+L139</f>
        <v>3500</v>
      </c>
      <c r="N139" s="6"/>
      <c r="O139" s="6"/>
      <c r="P139" s="6"/>
      <c r="T139" s="36"/>
      <c r="U139" s="23">
        <f>M139</f>
        <v>3500</v>
      </c>
      <c r="AC139" s="31"/>
      <c r="AD139" s="23">
        <f t="shared" si="34"/>
        <v>3500</v>
      </c>
      <c r="AE139" s="23">
        <f>AE140</f>
        <v>0</v>
      </c>
    </row>
    <row r="140" spans="1:31" ht="49.5" customHeight="1" hidden="1">
      <c r="A140" s="27"/>
      <c r="B140" s="105" t="s">
        <v>232</v>
      </c>
      <c r="C140" s="106" t="s">
        <v>194</v>
      </c>
      <c r="D140" s="106" t="s">
        <v>16</v>
      </c>
      <c r="E140" s="126" t="s">
        <v>80</v>
      </c>
      <c r="F140" s="106" t="s">
        <v>28</v>
      </c>
      <c r="G140" s="127"/>
      <c r="H140" s="128"/>
      <c r="I140" s="129"/>
      <c r="J140" s="128"/>
      <c r="K140" s="130"/>
      <c r="L140" s="130">
        <f>3500</f>
        <v>3500</v>
      </c>
      <c r="M140" s="131">
        <f>L140</f>
        <v>3500</v>
      </c>
      <c r="N140" s="6"/>
      <c r="O140" s="6"/>
      <c r="P140" s="6"/>
      <c r="T140" s="36"/>
      <c r="U140" s="127">
        <v>3500</v>
      </c>
      <c r="AC140" s="31"/>
      <c r="AD140" s="127">
        <f t="shared" si="34"/>
        <v>3500</v>
      </c>
      <c r="AE140" s="127">
        <v>0</v>
      </c>
    </row>
    <row r="141" spans="1:31" ht="39.75" customHeight="1">
      <c r="A141" s="27"/>
      <c r="B141" s="59" t="s">
        <v>233</v>
      </c>
      <c r="C141" s="55" t="s">
        <v>194</v>
      </c>
      <c r="D141" s="55" t="s">
        <v>16</v>
      </c>
      <c r="E141" s="88" t="s">
        <v>234</v>
      </c>
      <c r="F141" s="69"/>
      <c r="G141" s="23">
        <v>0</v>
      </c>
      <c r="H141" s="16">
        <f>H142</f>
        <v>4088.3</v>
      </c>
      <c r="I141" s="17">
        <f>G141+H141</f>
        <v>4088.3</v>
      </c>
      <c r="J141" s="16">
        <f>J142</f>
        <v>0</v>
      </c>
      <c r="K141" s="29">
        <f>I141+J141</f>
        <v>4088.3</v>
      </c>
      <c r="L141" s="18">
        <f>L142+L143</f>
        <v>847.0508799999998</v>
      </c>
      <c r="M141" s="24">
        <f>K141+L141</f>
        <v>4935.35088</v>
      </c>
      <c r="N141" s="6"/>
      <c r="O141" s="6"/>
      <c r="P141" s="6"/>
      <c r="T141" s="67">
        <f>T142+T143</f>
        <v>-111.724</v>
      </c>
      <c r="U141" s="32">
        <f>S141+T141</f>
        <v>-111.724</v>
      </c>
      <c r="W141" t="s">
        <v>235</v>
      </c>
      <c r="AC141" s="31"/>
      <c r="AD141" s="32">
        <f>AD143</f>
        <v>4823.62688</v>
      </c>
      <c r="AE141" s="26">
        <f>V141+AD141</f>
        <v>4823.62688</v>
      </c>
    </row>
    <row r="142" spans="1:31" ht="88.5" customHeight="1" hidden="1">
      <c r="A142" s="27"/>
      <c r="B142" s="59" t="s">
        <v>236</v>
      </c>
      <c r="C142" s="55" t="s">
        <v>194</v>
      </c>
      <c r="D142" s="55" t="s">
        <v>16</v>
      </c>
      <c r="E142" s="88" t="s">
        <v>237</v>
      </c>
      <c r="F142" s="55" t="s">
        <v>28</v>
      </c>
      <c r="G142" s="23">
        <v>0</v>
      </c>
      <c r="H142" s="16">
        <f>2800+600+35+653.3</f>
        <v>4088.3</v>
      </c>
      <c r="I142" s="17">
        <f>G142+H142</f>
        <v>4088.3</v>
      </c>
      <c r="J142" s="16">
        <v>0</v>
      </c>
      <c r="K142" s="29">
        <f>I142+J142</f>
        <v>4088.3</v>
      </c>
      <c r="L142" s="18">
        <f>-222.94912-3865.35088</f>
        <v>-4088.3</v>
      </c>
      <c r="M142" s="24">
        <f>K142+L142</f>
        <v>0</v>
      </c>
      <c r="N142" s="6"/>
      <c r="O142" s="6"/>
      <c r="P142" s="6"/>
      <c r="T142" s="36"/>
      <c r="U142" s="16">
        <f>S142+T142</f>
        <v>0</v>
      </c>
      <c r="AC142" s="31"/>
      <c r="AD142" s="16">
        <f aca="true" t="shared" si="37" ref="AD142:AD163">U142+AC142</f>
        <v>0</v>
      </c>
      <c r="AE142" s="26">
        <f>V142+AD142</f>
        <v>0</v>
      </c>
    </row>
    <row r="143" spans="1:31" ht="67.5" customHeight="1">
      <c r="A143" s="27"/>
      <c r="B143" s="59" t="s">
        <v>238</v>
      </c>
      <c r="C143" s="55" t="s">
        <v>194</v>
      </c>
      <c r="D143" s="55" t="s">
        <v>16</v>
      </c>
      <c r="E143" s="88" t="s">
        <v>237</v>
      </c>
      <c r="F143" s="55" t="s">
        <v>28</v>
      </c>
      <c r="G143" s="23"/>
      <c r="H143" s="16"/>
      <c r="I143" s="17"/>
      <c r="J143" s="16"/>
      <c r="K143" s="29"/>
      <c r="L143" s="18">
        <f>3865.35088+1070</f>
        <v>4935.35088</v>
      </c>
      <c r="M143" s="24">
        <f>K143+L143</f>
        <v>4935.35088</v>
      </c>
      <c r="N143" s="6"/>
      <c r="O143" s="6"/>
      <c r="P143" s="6"/>
      <c r="T143" s="67">
        <v>-111.724</v>
      </c>
      <c r="U143" s="16">
        <f>M143+T143</f>
        <v>4823.62688</v>
      </c>
      <c r="AC143" s="31"/>
      <c r="AD143" s="16">
        <f t="shared" si="37"/>
        <v>4823.62688</v>
      </c>
      <c r="AE143" s="26">
        <f>V143+AD143</f>
        <v>4823.62688</v>
      </c>
    </row>
    <row r="144" spans="1:31" ht="100.5" customHeight="1">
      <c r="A144" s="27"/>
      <c r="B144" s="132" t="s">
        <v>239</v>
      </c>
      <c r="C144" s="69" t="s">
        <v>194</v>
      </c>
      <c r="D144" s="69" t="s">
        <v>16</v>
      </c>
      <c r="E144" s="114" t="s">
        <v>240</v>
      </c>
      <c r="F144" s="69"/>
      <c r="G144" s="23">
        <v>0</v>
      </c>
      <c r="H144" s="16">
        <f aca="true" t="shared" si="38" ref="H144:M144">H145+H148</f>
        <v>1466.11001</v>
      </c>
      <c r="I144" s="17">
        <f t="shared" si="38"/>
        <v>1466.11001</v>
      </c>
      <c r="J144" s="16">
        <f t="shared" si="38"/>
        <v>0</v>
      </c>
      <c r="K144" s="18">
        <f t="shared" si="38"/>
        <v>1466.11001</v>
      </c>
      <c r="L144" s="18">
        <f t="shared" si="38"/>
        <v>-58.24565000000001</v>
      </c>
      <c r="M144" s="24">
        <f t="shared" si="38"/>
        <v>1407.86436</v>
      </c>
      <c r="N144" s="6"/>
      <c r="O144" s="6"/>
      <c r="P144" s="6"/>
      <c r="T144" s="58">
        <f>T145+T148</f>
        <v>-102.06813</v>
      </c>
      <c r="U144" s="16">
        <f>M144+T144</f>
        <v>1305.79623</v>
      </c>
      <c r="AC144" s="31"/>
      <c r="AD144" s="16">
        <f t="shared" si="37"/>
        <v>1305.79623</v>
      </c>
      <c r="AE144" s="26">
        <f>AE145+AE148</f>
        <v>1159.20116</v>
      </c>
    </row>
    <row r="145" spans="1:31" ht="54" customHeight="1">
      <c r="A145" s="27"/>
      <c r="B145" s="59" t="s">
        <v>241</v>
      </c>
      <c r="C145" s="89" t="s">
        <v>194</v>
      </c>
      <c r="D145" s="89" t="s">
        <v>16</v>
      </c>
      <c r="E145" s="88" t="s">
        <v>242</v>
      </c>
      <c r="F145" s="89"/>
      <c r="G145" s="23">
        <v>0</v>
      </c>
      <c r="H145" s="16">
        <f>H146</f>
        <v>372</v>
      </c>
      <c r="I145" s="17">
        <f>G145+H145</f>
        <v>372</v>
      </c>
      <c r="J145" s="16">
        <f>J146</f>
        <v>-0.07962</v>
      </c>
      <c r="K145" s="18">
        <f>I145+J145</f>
        <v>371.92038</v>
      </c>
      <c r="L145" s="18">
        <f>L146</f>
        <v>0</v>
      </c>
      <c r="M145" s="24">
        <f>K145+L145</f>
        <v>371.92038</v>
      </c>
      <c r="N145" s="6"/>
      <c r="O145" s="6"/>
      <c r="P145" s="6"/>
      <c r="T145" s="36"/>
      <c r="U145" s="16">
        <f>M145</f>
        <v>371.92038</v>
      </c>
      <c r="AC145" s="31"/>
      <c r="AD145" s="16">
        <f t="shared" si="37"/>
        <v>371.92038</v>
      </c>
      <c r="AE145" s="26">
        <f>V145+AD145</f>
        <v>371.92038</v>
      </c>
    </row>
    <row r="146" spans="1:31" ht="117" customHeight="1">
      <c r="A146" s="27"/>
      <c r="B146" s="37" t="s">
        <v>243</v>
      </c>
      <c r="C146" s="89" t="s">
        <v>194</v>
      </c>
      <c r="D146" s="89" t="s">
        <v>16</v>
      </c>
      <c r="E146" s="56" t="s">
        <v>244</v>
      </c>
      <c r="F146" s="89" t="s">
        <v>205</v>
      </c>
      <c r="G146" s="23">
        <v>0</v>
      </c>
      <c r="H146" s="16">
        <f>H147</f>
        <v>372</v>
      </c>
      <c r="I146" s="17">
        <f>G146+H146</f>
        <v>372</v>
      </c>
      <c r="J146" s="16">
        <f>J147-0.07962</f>
        <v>-0.07962</v>
      </c>
      <c r="K146" s="18">
        <f>I146+J146</f>
        <v>371.92038</v>
      </c>
      <c r="L146" s="18">
        <v>0</v>
      </c>
      <c r="M146" s="24">
        <f>K146+L146</f>
        <v>371.92038</v>
      </c>
      <c r="N146" s="6"/>
      <c r="O146" s="6"/>
      <c r="P146" s="6"/>
      <c r="T146" s="36"/>
      <c r="U146" s="16">
        <f>M146</f>
        <v>371.92038</v>
      </c>
      <c r="AC146" s="31"/>
      <c r="AD146" s="16">
        <f t="shared" si="37"/>
        <v>371.92038</v>
      </c>
      <c r="AE146" s="26">
        <f>V146+AD146</f>
        <v>371.92038</v>
      </c>
    </row>
    <row r="147" spans="1:31" ht="31.5">
      <c r="A147" s="27"/>
      <c r="B147" s="97" t="s">
        <v>126</v>
      </c>
      <c r="C147" s="89" t="s">
        <v>194</v>
      </c>
      <c r="D147" s="89" t="s">
        <v>16</v>
      </c>
      <c r="E147" s="56" t="s">
        <v>244</v>
      </c>
      <c r="F147" s="89" t="s">
        <v>205</v>
      </c>
      <c r="G147" s="23">
        <v>0</v>
      </c>
      <c r="H147" s="16">
        <v>372</v>
      </c>
      <c r="I147" s="17">
        <f>G147+H147</f>
        <v>372</v>
      </c>
      <c r="J147" s="16">
        <v>0</v>
      </c>
      <c r="K147" s="18">
        <v>371.92038</v>
      </c>
      <c r="L147" s="18">
        <v>0</v>
      </c>
      <c r="M147" s="24">
        <v>371.92038</v>
      </c>
      <c r="N147" s="6"/>
      <c r="O147" s="6"/>
      <c r="P147" s="6"/>
      <c r="T147" s="36"/>
      <c r="U147" s="16">
        <v>371.92038</v>
      </c>
      <c r="AC147" s="31"/>
      <c r="AD147" s="16">
        <f t="shared" si="37"/>
        <v>371.92038</v>
      </c>
      <c r="AE147" s="26">
        <f>V147+AD147</f>
        <v>371.92038</v>
      </c>
    </row>
    <row r="148" spans="1:31" ht="52.5" customHeight="1">
      <c r="A148" s="27"/>
      <c r="B148" s="59" t="s">
        <v>245</v>
      </c>
      <c r="C148" s="89" t="s">
        <v>194</v>
      </c>
      <c r="D148" s="89" t="s">
        <v>16</v>
      </c>
      <c r="E148" s="88" t="s">
        <v>246</v>
      </c>
      <c r="F148" s="89"/>
      <c r="G148" s="23">
        <v>0</v>
      </c>
      <c r="H148" s="16">
        <f>H150+H152</f>
        <v>1094.11001</v>
      </c>
      <c r="I148" s="17">
        <f>G148+H148</f>
        <v>1094.11001</v>
      </c>
      <c r="J148" s="16">
        <f aca="true" t="shared" si="39" ref="J148:T148">J149+J150+J152</f>
        <v>0.07962</v>
      </c>
      <c r="K148" s="18">
        <f t="shared" si="39"/>
        <v>1094.18963</v>
      </c>
      <c r="L148" s="18">
        <f t="shared" si="39"/>
        <v>-58.24565000000001</v>
      </c>
      <c r="M148" s="24">
        <f t="shared" si="39"/>
        <v>1035.94398</v>
      </c>
      <c r="N148" s="24">
        <f t="shared" si="39"/>
        <v>0</v>
      </c>
      <c r="O148" s="24">
        <f t="shared" si="39"/>
        <v>0</v>
      </c>
      <c r="P148" s="24">
        <f t="shared" si="39"/>
        <v>0</v>
      </c>
      <c r="Q148" s="24">
        <f t="shared" si="39"/>
        <v>0</v>
      </c>
      <c r="R148" s="24">
        <f t="shared" si="39"/>
        <v>0</v>
      </c>
      <c r="S148" s="24">
        <f t="shared" si="39"/>
        <v>0</v>
      </c>
      <c r="T148" s="16">
        <f t="shared" si="39"/>
        <v>-102.06813</v>
      </c>
      <c r="U148" s="16">
        <f>M148+T148</f>
        <v>933.87585</v>
      </c>
      <c r="AC148" s="31"/>
      <c r="AD148" s="16">
        <f t="shared" si="37"/>
        <v>933.87585</v>
      </c>
      <c r="AE148" s="26">
        <f>AE149+AE150+AE152</f>
        <v>787.2807799999999</v>
      </c>
    </row>
    <row r="149" spans="1:31" ht="99" customHeight="1">
      <c r="A149" s="27"/>
      <c r="B149" s="59" t="s">
        <v>247</v>
      </c>
      <c r="C149" s="89" t="s">
        <v>194</v>
      </c>
      <c r="D149" s="89" t="s">
        <v>16</v>
      </c>
      <c r="E149" s="88" t="s">
        <v>248</v>
      </c>
      <c r="F149" s="89" t="s">
        <v>28</v>
      </c>
      <c r="G149" s="40">
        <v>0</v>
      </c>
      <c r="H149" s="41">
        <v>0</v>
      </c>
      <c r="I149" s="42">
        <v>0</v>
      </c>
      <c r="J149" s="41">
        <v>0</v>
      </c>
      <c r="K149" s="48">
        <f>I149+J149</f>
        <v>0</v>
      </c>
      <c r="L149" s="48">
        <f>186.4+159.4</f>
        <v>345.8</v>
      </c>
      <c r="M149" s="49">
        <f>K149+L149</f>
        <v>345.8</v>
      </c>
      <c r="N149" s="6"/>
      <c r="O149" s="6"/>
      <c r="P149" s="6"/>
      <c r="T149" s="36"/>
      <c r="U149" s="40">
        <f>M149</f>
        <v>345.8</v>
      </c>
      <c r="AC149" s="31"/>
      <c r="AD149" s="23">
        <f t="shared" si="37"/>
        <v>345.8</v>
      </c>
      <c r="AE149" s="26">
        <v>345.7</v>
      </c>
    </row>
    <row r="150" spans="1:31" ht="126">
      <c r="A150" s="27"/>
      <c r="B150" s="37" t="s">
        <v>249</v>
      </c>
      <c r="C150" s="89" t="s">
        <v>194</v>
      </c>
      <c r="D150" s="89" t="s">
        <v>16</v>
      </c>
      <c r="E150" s="88" t="s">
        <v>250</v>
      </c>
      <c r="F150" s="89" t="s">
        <v>205</v>
      </c>
      <c r="G150" s="40">
        <v>0</v>
      </c>
      <c r="H150" s="41">
        <v>365.6</v>
      </c>
      <c r="I150" s="42">
        <f>G150+H150</f>
        <v>365.6</v>
      </c>
      <c r="J150" s="41">
        <v>0</v>
      </c>
      <c r="K150" s="48">
        <f>I150+J150</f>
        <v>365.6</v>
      </c>
      <c r="L150" s="44">
        <v>0</v>
      </c>
      <c r="M150" s="49">
        <f>K150+L150</f>
        <v>365.6</v>
      </c>
      <c r="N150" s="6"/>
      <c r="O150" s="6"/>
      <c r="P150" s="6"/>
      <c r="T150" s="36"/>
      <c r="U150" s="40">
        <f>M150</f>
        <v>365.6</v>
      </c>
      <c r="AC150" s="31"/>
      <c r="AD150" s="23">
        <f t="shared" si="37"/>
        <v>365.6</v>
      </c>
      <c r="AE150" s="26">
        <f>V150+AD150</f>
        <v>365.6</v>
      </c>
    </row>
    <row r="151" spans="1:31" ht="141.75" hidden="1">
      <c r="A151" s="27"/>
      <c r="B151" s="37" t="s">
        <v>251</v>
      </c>
      <c r="C151" s="89" t="s">
        <v>194</v>
      </c>
      <c r="D151" s="89" t="s">
        <v>16</v>
      </c>
      <c r="E151" s="88" t="s">
        <v>252</v>
      </c>
      <c r="F151" s="89" t="s">
        <v>205</v>
      </c>
      <c r="G151" s="23"/>
      <c r="H151" s="16"/>
      <c r="I151" s="17"/>
      <c r="J151" s="16"/>
      <c r="K151" s="133"/>
      <c r="L151" s="18"/>
      <c r="M151" s="134"/>
      <c r="N151" s="6"/>
      <c r="O151" s="6"/>
      <c r="P151" s="6"/>
      <c r="T151" s="36"/>
      <c r="U151" s="17"/>
      <c r="AC151" s="31"/>
      <c r="AD151" s="16">
        <f t="shared" si="37"/>
        <v>0</v>
      </c>
      <c r="AE151" s="16">
        <f>V151+AD151</f>
        <v>0</v>
      </c>
    </row>
    <row r="152" spans="1:31" ht="115.5" customHeight="1">
      <c r="A152" s="27"/>
      <c r="B152" s="37" t="s">
        <v>253</v>
      </c>
      <c r="C152" s="89" t="s">
        <v>194</v>
      </c>
      <c r="D152" s="89" t="s">
        <v>16</v>
      </c>
      <c r="E152" s="88" t="s">
        <v>250</v>
      </c>
      <c r="F152" s="55" t="s">
        <v>28</v>
      </c>
      <c r="G152" s="40">
        <v>0</v>
      </c>
      <c r="H152" s="41">
        <f>724.51628+749.42356-749.42356+125.665-125.665+3.99373</f>
        <v>728.5100100000001</v>
      </c>
      <c r="I152" s="42">
        <f>G152+H152</f>
        <v>728.5100100000001</v>
      </c>
      <c r="J152" s="41">
        <f>0+0.07962</f>
        <v>0.07962</v>
      </c>
      <c r="K152" s="44">
        <f>I152+J152</f>
        <v>728.58963</v>
      </c>
      <c r="L152" s="44">
        <f>-409.56324+5.51759</f>
        <v>-404.04565</v>
      </c>
      <c r="M152" s="95">
        <f>K152+L152</f>
        <v>324.54398000000003</v>
      </c>
      <c r="N152" s="6"/>
      <c r="O152" s="6"/>
      <c r="P152" s="6"/>
      <c r="T152" s="58">
        <f>-53.476-3.59213-45</f>
        <v>-102.06813</v>
      </c>
      <c r="U152" s="41">
        <f>M152+T152</f>
        <v>222.47585000000004</v>
      </c>
      <c r="W152" t="s">
        <v>254</v>
      </c>
      <c r="AC152" s="31"/>
      <c r="AD152" s="16">
        <f t="shared" si="37"/>
        <v>222.47585000000004</v>
      </c>
      <c r="AE152" s="26">
        <v>75.98078</v>
      </c>
    </row>
    <row r="153" spans="1:31" ht="94.5">
      <c r="A153" s="27"/>
      <c r="B153" s="20" t="s">
        <v>255</v>
      </c>
      <c r="C153" s="69" t="s">
        <v>194</v>
      </c>
      <c r="D153" s="69" t="s">
        <v>16</v>
      </c>
      <c r="E153" s="114" t="s">
        <v>256</v>
      </c>
      <c r="F153" s="69"/>
      <c r="G153" s="23">
        <f aca="true" t="shared" si="40" ref="G153:M153">G154</f>
        <v>100</v>
      </c>
      <c r="H153" s="16">
        <f t="shared" si="40"/>
        <v>126.6</v>
      </c>
      <c r="I153" s="17">
        <f t="shared" si="40"/>
        <v>226.6</v>
      </c>
      <c r="J153" s="16">
        <f t="shared" si="40"/>
        <v>0</v>
      </c>
      <c r="K153" s="29">
        <f t="shared" si="40"/>
        <v>226.6</v>
      </c>
      <c r="L153" s="18">
        <f t="shared" si="40"/>
        <v>230.38241</v>
      </c>
      <c r="M153" s="24">
        <f t="shared" si="40"/>
        <v>456.98240999999996</v>
      </c>
      <c r="N153" s="6"/>
      <c r="O153" s="6"/>
      <c r="P153" s="6"/>
      <c r="T153" s="36"/>
      <c r="U153" s="16">
        <f>U154</f>
        <v>456.98240999999996</v>
      </c>
      <c r="AC153" s="31"/>
      <c r="AD153" s="16">
        <f t="shared" si="37"/>
        <v>456.98240999999996</v>
      </c>
      <c r="AE153" s="26">
        <f aca="true" t="shared" si="41" ref="AE153:AE163">V153+AD153</f>
        <v>456.98240999999996</v>
      </c>
    </row>
    <row r="154" spans="1:31" ht="34.5" customHeight="1">
      <c r="A154" s="27"/>
      <c r="B154" s="37" t="s">
        <v>257</v>
      </c>
      <c r="C154" s="89" t="s">
        <v>194</v>
      </c>
      <c r="D154" s="89" t="s">
        <v>16</v>
      </c>
      <c r="E154" s="88" t="s">
        <v>258</v>
      </c>
      <c r="F154" s="89"/>
      <c r="G154" s="40">
        <f aca="true" t="shared" si="42" ref="G154:M154">G155+G156+G157</f>
        <v>100</v>
      </c>
      <c r="H154" s="41">
        <f t="shared" si="42"/>
        <v>126.6</v>
      </c>
      <c r="I154" s="42">
        <f t="shared" si="42"/>
        <v>226.6</v>
      </c>
      <c r="J154" s="41">
        <f t="shared" si="42"/>
        <v>0</v>
      </c>
      <c r="K154" s="48">
        <f t="shared" si="42"/>
        <v>226.6</v>
      </c>
      <c r="L154" s="44">
        <f t="shared" si="42"/>
        <v>230.38241</v>
      </c>
      <c r="M154" s="95">
        <f t="shared" si="42"/>
        <v>456.98240999999996</v>
      </c>
      <c r="N154" s="6"/>
      <c r="O154" s="6"/>
      <c r="P154" s="6"/>
      <c r="T154" s="36"/>
      <c r="U154" s="41">
        <f>U155+U156+U157</f>
        <v>456.98240999999996</v>
      </c>
      <c r="AC154" s="31"/>
      <c r="AD154" s="16">
        <f t="shared" si="37"/>
        <v>456.98240999999996</v>
      </c>
      <c r="AE154" s="26">
        <f t="shared" si="41"/>
        <v>456.98240999999996</v>
      </c>
    </row>
    <row r="155" spans="1:31" ht="117" customHeight="1">
      <c r="A155" s="27"/>
      <c r="B155" s="37" t="s">
        <v>259</v>
      </c>
      <c r="C155" s="89" t="s">
        <v>194</v>
      </c>
      <c r="D155" s="89" t="s">
        <v>16</v>
      </c>
      <c r="E155" s="88" t="s">
        <v>260</v>
      </c>
      <c r="F155" s="89" t="s">
        <v>28</v>
      </c>
      <c r="G155" s="40">
        <v>100</v>
      </c>
      <c r="H155" s="41">
        <v>0</v>
      </c>
      <c r="I155" s="42">
        <v>100</v>
      </c>
      <c r="J155" s="41">
        <v>0</v>
      </c>
      <c r="K155" s="48">
        <f>100</f>
        <v>100</v>
      </c>
      <c r="L155" s="44">
        <f>235.9-5.51759</f>
        <v>230.38241</v>
      </c>
      <c r="M155" s="95">
        <f>100+235.9-5.51759</f>
        <v>330.38241</v>
      </c>
      <c r="N155" s="6"/>
      <c r="O155" s="6"/>
      <c r="P155" s="6"/>
      <c r="T155" s="36"/>
      <c r="U155" s="41">
        <f>100+235.9-5.51759</f>
        <v>330.38241</v>
      </c>
      <c r="AC155" s="31"/>
      <c r="AD155" s="16">
        <f t="shared" si="37"/>
        <v>330.38241</v>
      </c>
      <c r="AE155" s="26">
        <f t="shared" si="41"/>
        <v>330.38241</v>
      </c>
    </row>
    <row r="156" spans="1:31" ht="84.75" customHeight="1">
      <c r="A156" s="27"/>
      <c r="B156" s="37" t="s">
        <v>261</v>
      </c>
      <c r="C156" s="89" t="s">
        <v>194</v>
      </c>
      <c r="D156" s="89" t="s">
        <v>16</v>
      </c>
      <c r="E156" s="88" t="s">
        <v>262</v>
      </c>
      <c r="F156" s="89" t="s">
        <v>28</v>
      </c>
      <c r="G156" s="40">
        <v>0</v>
      </c>
      <c r="H156" s="41">
        <v>126.6</v>
      </c>
      <c r="I156" s="42">
        <f>G156+H156</f>
        <v>126.6</v>
      </c>
      <c r="J156" s="41">
        <v>0</v>
      </c>
      <c r="K156" s="48">
        <f>I156+J156</f>
        <v>126.6</v>
      </c>
      <c r="L156" s="44">
        <v>0</v>
      </c>
      <c r="M156" s="49">
        <f>K156+L156</f>
        <v>126.6</v>
      </c>
      <c r="N156" s="6"/>
      <c r="O156" s="6"/>
      <c r="P156" s="6"/>
      <c r="T156" s="36"/>
      <c r="U156" s="40">
        <f>M156</f>
        <v>126.6</v>
      </c>
      <c r="AC156" s="31"/>
      <c r="AD156" s="23">
        <f t="shared" si="37"/>
        <v>126.6</v>
      </c>
      <c r="AE156" s="26">
        <f t="shared" si="41"/>
        <v>126.6</v>
      </c>
    </row>
    <row r="157" spans="1:31" ht="27" customHeight="1" hidden="1">
      <c r="A157" s="27"/>
      <c r="B157" s="37"/>
      <c r="C157" s="89" t="s">
        <v>194</v>
      </c>
      <c r="D157" s="89" t="s">
        <v>16</v>
      </c>
      <c r="E157" s="88"/>
      <c r="F157" s="89" t="s">
        <v>28</v>
      </c>
      <c r="G157" s="40">
        <v>0</v>
      </c>
      <c r="H157" s="41">
        <v>0</v>
      </c>
      <c r="I157" s="42">
        <f>G157+H157</f>
        <v>0</v>
      </c>
      <c r="J157" s="41">
        <v>0</v>
      </c>
      <c r="K157" s="62">
        <f>I157+J157</f>
        <v>0</v>
      </c>
      <c r="L157" s="44">
        <v>0</v>
      </c>
      <c r="M157" s="135">
        <f>K157+L157</f>
        <v>0</v>
      </c>
      <c r="N157" s="6"/>
      <c r="O157" s="6"/>
      <c r="P157" s="6"/>
      <c r="T157" s="36"/>
      <c r="U157" s="42">
        <f>S157+T157</f>
        <v>0</v>
      </c>
      <c r="AC157" s="31"/>
      <c r="AD157" s="23">
        <f t="shared" si="37"/>
        <v>0</v>
      </c>
      <c r="AE157" s="23">
        <f t="shared" si="41"/>
        <v>0</v>
      </c>
    </row>
    <row r="158" spans="1:31" ht="163.5" customHeight="1">
      <c r="A158" s="27"/>
      <c r="B158" s="20" t="s">
        <v>153</v>
      </c>
      <c r="C158" s="69" t="s">
        <v>194</v>
      </c>
      <c r="D158" s="69" t="s">
        <v>16</v>
      </c>
      <c r="E158" s="70" t="s">
        <v>154</v>
      </c>
      <c r="F158" s="89"/>
      <c r="G158" s="23">
        <f>G159</f>
        <v>300</v>
      </c>
      <c r="H158" s="16"/>
      <c r="I158" s="17">
        <f>I159</f>
        <v>300</v>
      </c>
      <c r="J158" s="16"/>
      <c r="K158" s="29">
        <f aca="true" t="shared" si="43" ref="K158:M159">K159</f>
        <v>300</v>
      </c>
      <c r="L158" s="29">
        <f t="shared" si="43"/>
        <v>-209.97</v>
      </c>
      <c r="M158" s="30">
        <f t="shared" si="43"/>
        <v>90.03</v>
      </c>
      <c r="N158" s="6"/>
      <c r="O158" s="6"/>
      <c r="P158" s="6"/>
      <c r="T158" s="36"/>
      <c r="U158" s="23">
        <f>U159</f>
        <v>90.03</v>
      </c>
      <c r="AC158" s="31"/>
      <c r="AD158" s="23">
        <f t="shared" si="37"/>
        <v>90.03</v>
      </c>
      <c r="AE158" s="26">
        <f t="shared" si="41"/>
        <v>90.03</v>
      </c>
    </row>
    <row r="159" spans="1:31" ht="57" customHeight="1">
      <c r="A159" s="27"/>
      <c r="B159" s="37" t="s">
        <v>155</v>
      </c>
      <c r="C159" s="89" t="s">
        <v>194</v>
      </c>
      <c r="D159" s="89" t="s">
        <v>16</v>
      </c>
      <c r="E159" s="88" t="s">
        <v>156</v>
      </c>
      <c r="F159" s="89"/>
      <c r="G159" s="40">
        <f>G160</f>
        <v>300</v>
      </c>
      <c r="H159" s="41"/>
      <c r="I159" s="42">
        <f>I160</f>
        <v>300</v>
      </c>
      <c r="J159" s="41"/>
      <c r="K159" s="48">
        <f t="shared" si="43"/>
        <v>300</v>
      </c>
      <c r="L159" s="48">
        <f t="shared" si="43"/>
        <v>-209.97</v>
      </c>
      <c r="M159" s="49">
        <f t="shared" si="43"/>
        <v>90.03</v>
      </c>
      <c r="N159" s="6"/>
      <c r="O159" s="6"/>
      <c r="P159" s="6"/>
      <c r="T159" s="36"/>
      <c r="U159" s="40">
        <f>U160</f>
        <v>90.03</v>
      </c>
      <c r="AC159" s="31"/>
      <c r="AD159" s="23">
        <f t="shared" si="37"/>
        <v>90.03</v>
      </c>
      <c r="AE159" s="26">
        <f t="shared" si="41"/>
        <v>90.03</v>
      </c>
    </row>
    <row r="160" spans="1:31" ht="174" customHeight="1">
      <c r="A160" s="27"/>
      <c r="B160" s="37" t="s">
        <v>157</v>
      </c>
      <c r="C160" s="89" t="s">
        <v>194</v>
      </c>
      <c r="D160" s="89" t="s">
        <v>16</v>
      </c>
      <c r="E160" s="88" t="s">
        <v>158</v>
      </c>
      <c r="F160" s="89" t="s">
        <v>28</v>
      </c>
      <c r="G160" s="40">
        <v>300</v>
      </c>
      <c r="H160" s="41"/>
      <c r="I160" s="42">
        <v>300</v>
      </c>
      <c r="J160" s="41"/>
      <c r="K160" s="48">
        <v>300</v>
      </c>
      <c r="L160" s="48">
        <v>-209.97</v>
      </c>
      <c r="M160" s="49">
        <f>300-209.97</f>
        <v>90.03</v>
      </c>
      <c r="N160" s="6"/>
      <c r="O160" s="6"/>
      <c r="P160" s="6"/>
      <c r="T160" s="36"/>
      <c r="U160" s="40">
        <f>300-209.97</f>
        <v>90.03</v>
      </c>
      <c r="AC160" s="31"/>
      <c r="AD160" s="23">
        <f t="shared" si="37"/>
        <v>90.03</v>
      </c>
      <c r="AE160" s="26">
        <f t="shared" si="41"/>
        <v>90.03</v>
      </c>
    </row>
    <row r="161" spans="1:31" ht="78.75">
      <c r="A161" s="27"/>
      <c r="B161" s="132" t="s">
        <v>263</v>
      </c>
      <c r="C161" s="136" t="s">
        <v>194</v>
      </c>
      <c r="D161" s="136" t="s">
        <v>16</v>
      </c>
      <c r="E161" s="137" t="s">
        <v>264</v>
      </c>
      <c r="F161" s="136"/>
      <c r="G161" s="40"/>
      <c r="H161" s="41"/>
      <c r="I161" s="42"/>
      <c r="J161" s="41"/>
      <c r="K161" s="48"/>
      <c r="L161" s="48"/>
      <c r="M161" s="49"/>
      <c r="N161" s="6"/>
      <c r="O161" s="6"/>
      <c r="P161" s="6"/>
      <c r="T161" s="138">
        <f>T162</f>
        <v>210.2</v>
      </c>
      <c r="U161" s="23">
        <f>U162</f>
        <v>210.2</v>
      </c>
      <c r="AC161" s="25">
        <f>AC162</f>
        <v>20726.8</v>
      </c>
      <c r="AD161" s="23">
        <f t="shared" si="37"/>
        <v>20937</v>
      </c>
      <c r="AE161" s="26">
        <f t="shared" si="41"/>
        <v>20937</v>
      </c>
    </row>
    <row r="162" spans="1:31" ht="173.25">
      <c r="A162" s="27"/>
      <c r="B162" s="59" t="s">
        <v>265</v>
      </c>
      <c r="C162" s="139" t="s">
        <v>194</v>
      </c>
      <c r="D162" s="139" t="s">
        <v>16</v>
      </c>
      <c r="E162" s="140" t="s">
        <v>266</v>
      </c>
      <c r="F162" s="139"/>
      <c r="G162" s="40"/>
      <c r="H162" s="41"/>
      <c r="I162" s="42"/>
      <c r="J162" s="41"/>
      <c r="K162" s="48"/>
      <c r="L162" s="48"/>
      <c r="M162" s="49"/>
      <c r="N162" s="6"/>
      <c r="O162" s="6"/>
      <c r="P162" s="6"/>
      <c r="T162" s="36">
        <f>T163</f>
        <v>210.2</v>
      </c>
      <c r="U162" s="40">
        <f>U163</f>
        <v>210.2</v>
      </c>
      <c r="AC162" s="25">
        <f>AC163</f>
        <v>20726.8</v>
      </c>
      <c r="AD162" s="23">
        <f t="shared" si="37"/>
        <v>20937</v>
      </c>
      <c r="AE162" s="26">
        <f t="shared" si="41"/>
        <v>20937</v>
      </c>
    </row>
    <row r="163" spans="1:31" ht="252">
      <c r="A163" s="27"/>
      <c r="B163" s="100" t="s">
        <v>267</v>
      </c>
      <c r="C163" s="141" t="s">
        <v>194</v>
      </c>
      <c r="D163" s="141" t="s">
        <v>16</v>
      </c>
      <c r="E163" s="142" t="s">
        <v>268</v>
      </c>
      <c r="F163" s="141" t="s">
        <v>42</v>
      </c>
      <c r="G163" s="143"/>
      <c r="H163" s="144"/>
      <c r="I163" s="145"/>
      <c r="J163" s="144"/>
      <c r="K163" s="146"/>
      <c r="L163" s="146"/>
      <c r="M163" s="147"/>
      <c r="N163" s="6"/>
      <c r="O163" s="6"/>
      <c r="P163" s="6"/>
      <c r="T163" s="148">
        <f>165.2+45</f>
        <v>210.2</v>
      </c>
      <c r="U163" s="143">
        <f>M163+T163</f>
        <v>210.2</v>
      </c>
      <c r="W163" t="s">
        <v>269</v>
      </c>
      <c r="AC163" s="149">
        <v>20726.8</v>
      </c>
      <c r="AD163" s="150">
        <f t="shared" si="37"/>
        <v>20937</v>
      </c>
      <c r="AE163" s="151">
        <f t="shared" si="41"/>
        <v>20937</v>
      </c>
    </row>
    <row r="164" spans="1:31" ht="15.75">
      <c r="A164" s="27"/>
      <c r="B164" s="152" t="s">
        <v>270</v>
      </c>
      <c r="C164" s="153"/>
      <c r="D164" s="153"/>
      <c r="E164" s="154"/>
      <c r="F164" s="153"/>
      <c r="G164" s="127"/>
      <c r="H164" s="128"/>
      <c r="I164" s="129"/>
      <c r="J164" s="128"/>
      <c r="K164" s="127"/>
      <c r="L164" s="127"/>
      <c r="M164" s="131"/>
      <c r="N164" s="155"/>
      <c r="O164" s="155"/>
      <c r="P164" s="155"/>
      <c r="Q164" s="156"/>
      <c r="R164" s="156"/>
      <c r="S164" s="156"/>
      <c r="T164" s="157"/>
      <c r="U164" s="127"/>
      <c r="V164" s="156"/>
      <c r="W164" s="156"/>
      <c r="X164" s="156"/>
      <c r="Y164" s="156"/>
      <c r="Z164" s="156"/>
      <c r="AA164" s="156"/>
      <c r="AB164" s="156"/>
      <c r="AC164" s="158"/>
      <c r="AD164" s="159">
        <v>210.2</v>
      </c>
      <c r="AE164" s="160">
        <v>210.2</v>
      </c>
    </row>
    <row r="165" spans="1:31" ht="15.75">
      <c r="A165" s="27"/>
      <c r="B165" s="117" t="s">
        <v>271</v>
      </c>
      <c r="C165" s="124" t="s">
        <v>194</v>
      </c>
      <c r="D165" s="124" t="s">
        <v>25</v>
      </c>
      <c r="E165" s="161"/>
      <c r="F165" s="124"/>
      <c r="G165" s="162">
        <f>G166+G169+G183</f>
        <v>11487.2</v>
      </c>
      <c r="H165" s="163">
        <f>H166+H169+H183</f>
        <v>1168</v>
      </c>
      <c r="I165" s="164">
        <f>I166+I169+I183</f>
        <v>12655.2</v>
      </c>
      <c r="J165" s="163">
        <f>J166+J169+J183</f>
        <v>628.05296</v>
      </c>
      <c r="K165" s="165">
        <f>K166+K169+K183</f>
        <v>13283.252960000002</v>
      </c>
      <c r="L165" s="165">
        <f>L166+L169+L183+L192</f>
        <v>1617.04912</v>
      </c>
      <c r="M165" s="166">
        <f>M166+M169+M183+M192</f>
        <v>14900.30208</v>
      </c>
      <c r="N165" s="6"/>
      <c r="O165" s="6"/>
      <c r="P165" s="6"/>
      <c r="T165" s="167">
        <f>T169+T183</f>
        <v>0</v>
      </c>
      <c r="U165" s="163">
        <f>M165+T165</f>
        <v>14900.30208</v>
      </c>
      <c r="AC165" s="168"/>
      <c r="AD165" s="163">
        <f aca="true" t="shared" si="44" ref="AD165:AD255">U165+AC165</f>
        <v>14900.30208</v>
      </c>
      <c r="AE165" s="169">
        <f>AE169+AE183+AE192</f>
        <v>14594.83219</v>
      </c>
    </row>
    <row r="166" spans="1:31" ht="48.75" customHeight="1" hidden="1">
      <c r="A166" s="27"/>
      <c r="B166" s="20" t="s">
        <v>94</v>
      </c>
      <c r="C166" s="69" t="s">
        <v>194</v>
      </c>
      <c r="D166" s="69" t="s">
        <v>25</v>
      </c>
      <c r="E166" s="70" t="s">
        <v>30</v>
      </c>
      <c r="F166" s="69"/>
      <c r="G166" s="23">
        <f>G167</f>
        <v>200</v>
      </c>
      <c r="H166" s="16"/>
      <c r="I166" s="17">
        <f>I167</f>
        <v>0</v>
      </c>
      <c r="J166" s="16"/>
      <c r="K166" s="29">
        <f>K167</f>
        <v>0</v>
      </c>
      <c r="L166" s="18"/>
      <c r="M166" s="30">
        <f>M167</f>
        <v>0</v>
      </c>
      <c r="N166" s="6"/>
      <c r="O166" s="6"/>
      <c r="P166" s="6"/>
      <c r="T166" s="36"/>
      <c r="U166" s="23">
        <f>U167</f>
        <v>0</v>
      </c>
      <c r="AC166" s="31"/>
      <c r="AD166" s="16">
        <f t="shared" si="44"/>
        <v>0</v>
      </c>
      <c r="AE166" s="16">
        <f>V166+AD166</f>
        <v>0</v>
      </c>
    </row>
    <row r="167" spans="1:31" ht="33" customHeight="1" hidden="1">
      <c r="A167" s="27"/>
      <c r="B167" s="52" t="s">
        <v>272</v>
      </c>
      <c r="C167" s="55" t="s">
        <v>194</v>
      </c>
      <c r="D167" s="55" t="s">
        <v>25</v>
      </c>
      <c r="E167" s="56" t="s">
        <v>96</v>
      </c>
      <c r="F167" s="55"/>
      <c r="G167" s="40">
        <f>G168</f>
        <v>200</v>
      </c>
      <c r="H167" s="41"/>
      <c r="I167" s="42">
        <f>I168</f>
        <v>0</v>
      </c>
      <c r="J167" s="41"/>
      <c r="K167" s="48">
        <f>K168</f>
        <v>0</v>
      </c>
      <c r="L167" s="44"/>
      <c r="M167" s="49">
        <f>M168</f>
        <v>0</v>
      </c>
      <c r="N167" s="6"/>
      <c r="O167" s="6"/>
      <c r="P167" s="6"/>
      <c r="T167" s="36"/>
      <c r="U167" s="40">
        <f>U168</f>
        <v>0</v>
      </c>
      <c r="AC167" s="31"/>
      <c r="AD167" s="16">
        <f t="shared" si="44"/>
        <v>0</v>
      </c>
      <c r="AE167" s="16">
        <f>V167+AD167</f>
        <v>0</v>
      </c>
    </row>
    <row r="168" spans="1:31" ht="78.75" hidden="1">
      <c r="A168" s="27"/>
      <c r="B168" s="37" t="s">
        <v>273</v>
      </c>
      <c r="C168" s="55" t="s">
        <v>194</v>
      </c>
      <c r="D168" s="55" t="s">
        <v>25</v>
      </c>
      <c r="E168" s="56" t="s">
        <v>98</v>
      </c>
      <c r="F168" s="55" t="s">
        <v>28</v>
      </c>
      <c r="G168" s="40">
        <v>200</v>
      </c>
      <c r="H168" s="41"/>
      <c r="I168" s="42">
        <f>200-200</f>
        <v>0</v>
      </c>
      <c r="J168" s="41"/>
      <c r="K168" s="48">
        <f>200-200</f>
        <v>0</v>
      </c>
      <c r="L168" s="44"/>
      <c r="M168" s="49">
        <f>200-200</f>
        <v>0</v>
      </c>
      <c r="N168" s="6"/>
      <c r="O168" s="6"/>
      <c r="P168" s="6"/>
      <c r="T168" s="36"/>
      <c r="U168" s="40">
        <f>200-200</f>
        <v>0</v>
      </c>
      <c r="AC168" s="31"/>
      <c r="AD168" s="16">
        <f t="shared" si="44"/>
        <v>0</v>
      </c>
      <c r="AE168" s="16">
        <f>V168+AD168</f>
        <v>0</v>
      </c>
    </row>
    <row r="169" spans="1:31" ht="99.75" customHeight="1">
      <c r="A169" s="27"/>
      <c r="B169" s="20" t="s">
        <v>255</v>
      </c>
      <c r="C169" s="69" t="s">
        <v>194</v>
      </c>
      <c r="D169" s="69" t="s">
        <v>25</v>
      </c>
      <c r="E169" s="70" t="s">
        <v>256</v>
      </c>
      <c r="F169" s="55"/>
      <c r="G169" s="23">
        <f aca="true" t="shared" si="45" ref="G169:M169">G170+G172+G176+G178+G181</f>
        <v>4950</v>
      </c>
      <c r="H169" s="16">
        <f t="shared" si="45"/>
        <v>668</v>
      </c>
      <c r="I169" s="17">
        <f t="shared" si="45"/>
        <v>5818</v>
      </c>
      <c r="J169" s="16">
        <f t="shared" si="45"/>
        <v>522.05296</v>
      </c>
      <c r="K169" s="18">
        <f t="shared" si="45"/>
        <v>6340.05296</v>
      </c>
      <c r="L169" s="18">
        <f t="shared" si="45"/>
        <v>1167.94912</v>
      </c>
      <c r="M169" s="24">
        <f t="shared" si="45"/>
        <v>7508.002079999999</v>
      </c>
      <c r="N169" s="6"/>
      <c r="O169" s="6"/>
      <c r="P169" s="6"/>
      <c r="T169" s="58">
        <f>T170+T172+T176+T178+T181</f>
        <v>145.50184000000002</v>
      </c>
      <c r="U169" s="16">
        <f>M169</f>
        <v>7508.002079999999</v>
      </c>
      <c r="AC169" s="31"/>
      <c r="AD169" s="16">
        <f t="shared" si="44"/>
        <v>7508.002079999999</v>
      </c>
      <c r="AE169" s="26">
        <f>AE170+AE172+AE176+AE178+AE181</f>
        <v>7362.134029999999</v>
      </c>
    </row>
    <row r="170" spans="1:31" ht="39.75" customHeight="1">
      <c r="A170" s="27"/>
      <c r="B170" s="37" t="s">
        <v>274</v>
      </c>
      <c r="C170" s="55" t="s">
        <v>194</v>
      </c>
      <c r="D170" s="55" t="s">
        <v>25</v>
      </c>
      <c r="E170" s="56" t="s">
        <v>275</v>
      </c>
      <c r="F170" s="55"/>
      <c r="G170" s="40">
        <f>G171</f>
        <v>3000</v>
      </c>
      <c r="H170" s="41"/>
      <c r="I170" s="42">
        <f>I171</f>
        <v>3000</v>
      </c>
      <c r="J170" s="41"/>
      <c r="K170" s="48">
        <f>K171</f>
        <v>3000</v>
      </c>
      <c r="L170" s="44">
        <f>L171</f>
        <v>1075</v>
      </c>
      <c r="M170" s="49">
        <f>M171</f>
        <v>4075</v>
      </c>
      <c r="N170" s="6"/>
      <c r="O170" s="6"/>
      <c r="P170" s="6"/>
      <c r="T170" s="36"/>
      <c r="U170" s="40">
        <f>U171</f>
        <v>4075</v>
      </c>
      <c r="AC170" s="31"/>
      <c r="AD170" s="23">
        <f t="shared" si="44"/>
        <v>4075</v>
      </c>
      <c r="AE170" s="26">
        <f>AE171</f>
        <v>3796.7</v>
      </c>
    </row>
    <row r="171" spans="1:31" ht="54" customHeight="1">
      <c r="A171" s="27"/>
      <c r="B171" s="52" t="s">
        <v>276</v>
      </c>
      <c r="C171" s="55" t="s">
        <v>194</v>
      </c>
      <c r="D171" s="55" t="s">
        <v>25</v>
      </c>
      <c r="E171" s="56" t="s">
        <v>277</v>
      </c>
      <c r="F171" s="55" t="s">
        <v>28</v>
      </c>
      <c r="G171" s="40">
        <v>3000</v>
      </c>
      <c r="H171" s="41"/>
      <c r="I171" s="42">
        <v>3000</v>
      </c>
      <c r="J171" s="41"/>
      <c r="K171" s="48">
        <v>3000</v>
      </c>
      <c r="L171" s="44">
        <f>1000+75</f>
        <v>1075</v>
      </c>
      <c r="M171" s="49">
        <f>3000+1000+75</f>
        <v>4075</v>
      </c>
      <c r="N171" s="6" t="s">
        <v>278</v>
      </c>
      <c r="O171" s="6"/>
      <c r="P171" s="6"/>
      <c r="T171" s="36"/>
      <c r="U171" s="40">
        <f>3000+1000+75</f>
        <v>4075</v>
      </c>
      <c r="AC171" s="31"/>
      <c r="AD171" s="23">
        <f t="shared" si="44"/>
        <v>4075</v>
      </c>
      <c r="AE171" s="26">
        <v>3796.7</v>
      </c>
    </row>
    <row r="172" spans="1:31" ht="37.5" customHeight="1">
      <c r="A172" s="27"/>
      <c r="B172" s="37" t="s">
        <v>279</v>
      </c>
      <c r="C172" s="55" t="s">
        <v>194</v>
      </c>
      <c r="D172" s="55" t="s">
        <v>25</v>
      </c>
      <c r="E172" s="56" t="s">
        <v>280</v>
      </c>
      <c r="F172" s="55"/>
      <c r="G172" s="40">
        <f aca="true" t="shared" si="46" ref="G172:M172">G173</f>
        <v>50</v>
      </c>
      <c r="H172" s="41">
        <f t="shared" si="46"/>
        <v>668</v>
      </c>
      <c r="I172" s="42">
        <f t="shared" si="46"/>
        <v>718</v>
      </c>
      <c r="J172" s="41">
        <f t="shared" si="46"/>
        <v>0</v>
      </c>
      <c r="K172" s="48">
        <f t="shared" si="46"/>
        <v>718</v>
      </c>
      <c r="L172" s="48">
        <f t="shared" si="46"/>
        <v>-418</v>
      </c>
      <c r="M172" s="49">
        <f t="shared" si="46"/>
        <v>300</v>
      </c>
      <c r="N172" s="6"/>
      <c r="O172" s="6"/>
      <c r="P172" s="6"/>
      <c r="T172" s="36"/>
      <c r="U172" s="40">
        <f>U173</f>
        <v>300</v>
      </c>
      <c r="AC172" s="31"/>
      <c r="AD172" s="23">
        <f t="shared" si="44"/>
        <v>300</v>
      </c>
      <c r="AE172" s="26">
        <f aca="true" t="shared" si="47" ref="AE172:AE177">V172+AD172</f>
        <v>300</v>
      </c>
    </row>
    <row r="173" spans="1:31" ht="65.25" customHeight="1">
      <c r="A173" s="27"/>
      <c r="B173" s="52" t="s">
        <v>281</v>
      </c>
      <c r="C173" s="55" t="s">
        <v>194</v>
      </c>
      <c r="D173" s="55" t="s">
        <v>25</v>
      </c>
      <c r="E173" s="56" t="s">
        <v>282</v>
      </c>
      <c r="F173" s="55" t="s">
        <v>28</v>
      </c>
      <c r="G173" s="40">
        <v>50</v>
      </c>
      <c r="H173" s="41">
        <f>H174+H175+450</f>
        <v>668</v>
      </c>
      <c r="I173" s="42">
        <f>G173+H173</f>
        <v>718</v>
      </c>
      <c r="J173" s="41">
        <v>0</v>
      </c>
      <c r="K173" s="48">
        <f>I173+J173</f>
        <v>718</v>
      </c>
      <c r="L173" s="48">
        <f>-14.1-105.9-188-110</f>
        <v>-418</v>
      </c>
      <c r="M173" s="49">
        <f>K173+L173</f>
        <v>300</v>
      </c>
      <c r="N173" s="6"/>
      <c r="O173" s="6" t="s">
        <v>137</v>
      </c>
      <c r="P173" s="6"/>
      <c r="T173" s="36"/>
      <c r="U173" s="40">
        <f>M173</f>
        <v>300</v>
      </c>
      <c r="AC173" s="31"/>
      <c r="AD173" s="23">
        <f t="shared" si="44"/>
        <v>300</v>
      </c>
      <c r="AE173" s="26">
        <f t="shared" si="47"/>
        <v>300</v>
      </c>
    </row>
    <row r="174" spans="1:31" ht="47.25">
      <c r="A174" s="27"/>
      <c r="B174" s="105" t="s">
        <v>283</v>
      </c>
      <c r="C174" s="106" t="s">
        <v>194</v>
      </c>
      <c r="D174" s="106" t="s">
        <v>25</v>
      </c>
      <c r="E174" s="126" t="s">
        <v>282</v>
      </c>
      <c r="F174" s="106" t="s">
        <v>28</v>
      </c>
      <c r="G174" s="127">
        <v>0</v>
      </c>
      <c r="H174" s="128">
        <v>218</v>
      </c>
      <c r="I174" s="129">
        <v>218</v>
      </c>
      <c r="J174" s="128">
        <v>0</v>
      </c>
      <c r="K174" s="130">
        <v>218</v>
      </c>
      <c r="L174" s="130">
        <v>-108</v>
      </c>
      <c r="M174" s="131">
        <f>K174+L174</f>
        <v>110</v>
      </c>
      <c r="N174" s="6"/>
      <c r="O174" s="6"/>
      <c r="P174" s="6"/>
      <c r="T174" s="36"/>
      <c r="U174" s="127">
        <f>M174</f>
        <v>110</v>
      </c>
      <c r="AC174" s="31"/>
      <c r="AD174" s="23">
        <f t="shared" si="44"/>
        <v>110</v>
      </c>
      <c r="AE174" s="26">
        <f t="shared" si="47"/>
        <v>110</v>
      </c>
    </row>
    <row r="175" spans="1:31" ht="47.25">
      <c r="A175" s="27"/>
      <c r="B175" s="105" t="s">
        <v>284</v>
      </c>
      <c r="C175" s="106" t="s">
        <v>194</v>
      </c>
      <c r="D175" s="106" t="s">
        <v>25</v>
      </c>
      <c r="E175" s="126" t="s">
        <v>282</v>
      </c>
      <c r="F175" s="106" t="s">
        <v>28</v>
      </c>
      <c r="G175" s="127">
        <v>0</v>
      </c>
      <c r="H175" s="128">
        <v>0</v>
      </c>
      <c r="I175" s="129">
        <v>0</v>
      </c>
      <c r="J175" s="128">
        <v>0</v>
      </c>
      <c r="K175" s="130">
        <v>0</v>
      </c>
      <c r="L175" s="170">
        <v>13</v>
      </c>
      <c r="M175" s="131">
        <f>K175+L175</f>
        <v>13</v>
      </c>
      <c r="N175" s="6"/>
      <c r="O175" s="6"/>
      <c r="P175" s="6"/>
      <c r="T175" s="36"/>
      <c r="U175" s="127">
        <f>M175</f>
        <v>13</v>
      </c>
      <c r="AC175" s="31"/>
      <c r="AD175" s="23">
        <f t="shared" si="44"/>
        <v>13</v>
      </c>
      <c r="AE175" s="26">
        <f t="shared" si="47"/>
        <v>13</v>
      </c>
    </row>
    <row r="176" spans="1:31" ht="55.5" customHeight="1">
      <c r="A176" s="27"/>
      <c r="B176" s="37" t="s">
        <v>285</v>
      </c>
      <c r="C176" s="55" t="s">
        <v>194</v>
      </c>
      <c r="D176" s="55" t="s">
        <v>25</v>
      </c>
      <c r="E176" s="56" t="s">
        <v>286</v>
      </c>
      <c r="F176" s="55"/>
      <c r="G176" s="40">
        <f>G177</f>
        <v>800</v>
      </c>
      <c r="H176" s="41"/>
      <c r="I176" s="42">
        <f>I177</f>
        <v>1000</v>
      </c>
      <c r="J176" s="41">
        <f>J177</f>
        <v>-420.24703999999997</v>
      </c>
      <c r="K176" s="44">
        <f>K177</f>
        <v>579.7529599999999</v>
      </c>
      <c r="L176" s="44">
        <f>L177</f>
        <v>256.59652</v>
      </c>
      <c r="M176" s="95">
        <f>M177</f>
        <v>836.3494799999999</v>
      </c>
      <c r="N176" s="6"/>
      <c r="O176" s="6"/>
      <c r="P176" s="6"/>
      <c r="T176" s="58">
        <f>T177</f>
        <v>189.58455</v>
      </c>
      <c r="U176" s="41">
        <f>U177</f>
        <v>1025.93403</v>
      </c>
      <c r="AC176" s="31"/>
      <c r="AD176" s="16">
        <f t="shared" si="44"/>
        <v>1025.93403</v>
      </c>
      <c r="AE176" s="26">
        <f t="shared" si="47"/>
        <v>1025.93403</v>
      </c>
    </row>
    <row r="177" spans="1:31" ht="69.75" customHeight="1">
      <c r="A177" s="27"/>
      <c r="B177" s="52" t="s">
        <v>287</v>
      </c>
      <c r="C177" s="55" t="s">
        <v>194</v>
      </c>
      <c r="D177" s="55" t="s">
        <v>25</v>
      </c>
      <c r="E177" s="56" t="s">
        <v>288</v>
      </c>
      <c r="F177" s="55" t="s">
        <v>28</v>
      </c>
      <c r="G177" s="40">
        <f>1000-200</f>
        <v>800</v>
      </c>
      <c r="H177" s="41"/>
      <c r="I177" s="42">
        <f>1000</f>
        <v>1000</v>
      </c>
      <c r="J177" s="41">
        <f>0-30.2-106-130-154.04704</f>
        <v>-420.24703999999997</v>
      </c>
      <c r="K177" s="44">
        <f>1000-30.2-106-130-154.04704</f>
        <v>579.7529599999999</v>
      </c>
      <c r="L177" s="44">
        <f>138.09652+110+8.5</f>
        <v>256.59652</v>
      </c>
      <c r="M177" s="95">
        <f>1000-30.2-106-130-154.04704+138.09652+110+8.5</f>
        <v>836.3494799999999</v>
      </c>
      <c r="N177" s="6"/>
      <c r="O177" s="6"/>
      <c r="P177" s="6"/>
      <c r="T177" s="58">
        <f>189.58455</f>
        <v>189.58455</v>
      </c>
      <c r="U177" s="41">
        <f>1000-30.2-106-130-154.04704+138.09652+110+8.5+T177</f>
        <v>1025.93403</v>
      </c>
      <c r="W177" t="s">
        <v>289</v>
      </c>
      <c r="AC177" s="31"/>
      <c r="AD177" s="16">
        <f t="shared" si="44"/>
        <v>1025.93403</v>
      </c>
      <c r="AE177" s="26">
        <f t="shared" si="47"/>
        <v>1025.93403</v>
      </c>
    </row>
    <row r="178" spans="1:31" ht="35.25" customHeight="1">
      <c r="A178" s="27"/>
      <c r="B178" s="37" t="s">
        <v>290</v>
      </c>
      <c r="C178" s="55" t="s">
        <v>194</v>
      </c>
      <c r="D178" s="55" t="s">
        <v>25</v>
      </c>
      <c r="E178" s="56" t="s">
        <v>291</v>
      </c>
      <c r="F178" s="55"/>
      <c r="G178" s="40">
        <f>G179</f>
        <v>1000</v>
      </c>
      <c r="H178" s="41"/>
      <c r="I178" s="42">
        <f>I179</f>
        <v>1000</v>
      </c>
      <c r="J178" s="41">
        <f>J179+J180</f>
        <v>782.1</v>
      </c>
      <c r="K178" s="48">
        <f>K179+K180</f>
        <v>1782.1</v>
      </c>
      <c r="L178" s="44">
        <f>L179+L180</f>
        <v>204.3526</v>
      </c>
      <c r="M178" s="95">
        <f>M179+M180</f>
        <v>1986.4526</v>
      </c>
      <c r="N178" s="6"/>
      <c r="O178" s="6"/>
      <c r="P178" s="6"/>
      <c r="T178" s="36"/>
      <c r="U178" s="41">
        <f>U179+U180</f>
        <v>1986.4526</v>
      </c>
      <c r="AC178" s="31"/>
      <c r="AD178" s="16">
        <f t="shared" si="44"/>
        <v>1986.4526</v>
      </c>
      <c r="AE178" s="26">
        <f>AE179+AE180</f>
        <v>1979.4</v>
      </c>
    </row>
    <row r="179" spans="1:31" ht="70.5" customHeight="1">
      <c r="A179" s="27"/>
      <c r="B179" s="52" t="s">
        <v>292</v>
      </c>
      <c r="C179" s="55" t="s">
        <v>194</v>
      </c>
      <c r="D179" s="55" t="s">
        <v>25</v>
      </c>
      <c r="E179" s="56" t="s">
        <v>293</v>
      </c>
      <c r="F179" s="55" t="s">
        <v>28</v>
      </c>
      <c r="G179" s="40">
        <v>1000</v>
      </c>
      <c r="H179" s="41"/>
      <c r="I179" s="42">
        <v>1000</v>
      </c>
      <c r="J179" s="41"/>
      <c r="K179" s="48">
        <v>1000</v>
      </c>
      <c r="L179" s="44">
        <f>84.8526+65+54.5</f>
        <v>204.3526</v>
      </c>
      <c r="M179" s="95">
        <f>1000+84.8526+65+54.5</f>
        <v>1204.3526</v>
      </c>
      <c r="N179" s="6"/>
      <c r="O179" s="6"/>
      <c r="P179" s="6"/>
      <c r="T179" s="36"/>
      <c r="U179" s="41">
        <f>1000+84.8526+65+54.5</f>
        <v>1204.3526</v>
      </c>
      <c r="AC179" s="31"/>
      <c r="AD179" s="16">
        <f t="shared" si="44"/>
        <v>1204.3526</v>
      </c>
      <c r="AE179" s="26">
        <v>1197.3</v>
      </c>
    </row>
    <row r="180" spans="1:31" ht="84.75" customHeight="1">
      <c r="A180" s="27"/>
      <c r="B180" s="52" t="s">
        <v>294</v>
      </c>
      <c r="C180" s="55" t="s">
        <v>194</v>
      </c>
      <c r="D180" s="55" t="s">
        <v>25</v>
      </c>
      <c r="E180" s="56" t="s">
        <v>295</v>
      </c>
      <c r="F180" s="55" t="s">
        <v>28</v>
      </c>
      <c r="G180" s="40">
        <v>0</v>
      </c>
      <c r="H180" s="41">
        <v>0</v>
      </c>
      <c r="I180" s="42">
        <v>0</v>
      </c>
      <c r="J180" s="41">
        <f>782.1</f>
        <v>782.1</v>
      </c>
      <c r="K180" s="48">
        <f>I180+J180</f>
        <v>782.1</v>
      </c>
      <c r="L180" s="44">
        <v>0</v>
      </c>
      <c r="M180" s="49">
        <f>K180+L180</f>
        <v>782.1</v>
      </c>
      <c r="N180" s="6"/>
      <c r="O180" s="6"/>
      <c r="P180" s="6"/>
      <c r="T180" s="36"/>
      <c r="U180" s="40">
        <f>M180</f>
        <v>782.1</v>
      </c>
      <c r="AC180" s="31"/>
      <c r="AD180" s="23">
        <f t="shared" si="44"/>
        <v>782.1</v>
      </c>
      <c r="AE180" s="26">
        <f>V180+AD180</f>
        <v>782.1</v>
      </c>
    </row>
    <row r="181" spans="1:31" ht="38.25" customHeight="1">
      <c r="A181" s="27"/>
      <c r="B181" s="59" t="s">
        <v>296</v>
      </c>
      <c r="C181" s="55" t="s">
        <v>194</v>
      </c>
      <c r="D181" s="55" t="s">
        <v>25</v>
      </c>
      <c r="E181" s="56" t="s">
        <v>297</v>
      </c>
      <c r="F181" s="55"/>
      <c r="G181" s="40">
        <f>G182</f>
        <v>100</v>
      </c>
      <c r="H181" s="41"/>
      <c r="I181" s="42">
        <f>I182</f>
        <v>100</v>
      </c>
      <c r="J181" s="41">
        <f>J182</f>
        <v>160.2</v>
      </c>
      <c r="K181" s="48">
        <f>K182</f>
        <v>260.2</v>
      </c>
      <c r="L181" s="48">
        <f>L182</f>
        <v>50</v>
      </c>
      <c r="M181" s="49">
        <f>M182</f>
        <v>310.2</v>
      </c>
      <c r="N181" s="6"/>
      <c r="O181" s="6"/>
      <c r="P181" s="6"/>
      <c r="T181" s="58">
        <f>T182</f>
        <v>-44.082710000000006</v>
      </c>
      <c r="U181" s="41">
        <f>U182</f>
        <v>266.11728999999997</v>
      </c>
      <c r="AC181" s="31"/>
      <c r="AD181" s="16">
        <f t="shared" si="44"/>
        <v>266.11728999999997</v>
      </c>
      <c r="AE181" s="26">
        <f>AE182</f>
        <v>260.1</v>
      </c>
    </row>
    <row r="182" spans="1:31" ht="63.75" customHeight="1">
      <c r="A182" s="27"/>
      <c r="B182" s="59" t="s">
        <v>298</v>
      </c>
      <c r="C182" s="55" t="s">
        <v>194</v>
      </c>
      <c r="D182" s="55" t="s">
        <v>25</v>
      </c>
      <c r="E182" s="56" t="s">
        <v>299</v>
      </c>
      <c r="F182" s="55" t="s">
        <v>28</v>
      </c>
      <c r="G182" s="40">
        <v>100</v>
      </c>
      <c r="H182" s="41"/>
      <c r="I182" s="42">
        <v>100</v>
      </c>
      <c r="J182" s="41">
        <f>0+30.2+130</f>
        <v>160.2</v>
      </c>
      <c r="K182" s="48">
        <f>100+30.2+130</f>
        <v>260.2</v>
      </c>
      <c r="L182" s="48">
        <f>0+50</f>
        <v>50</v>
      </c>
      <c r="M182" s="49">
        <f>100+30.2+130+50</f>
        <v>310.2</v>
      </c>
      <c r="N182" s="6"/>
      <c r="O182" s="6"/>
      <c r="P182" s="6"/>
      <c r="T182" s="58">
        <f>22.31729-66.4</f>
        <v>-44.082710000000006</v>
      </c>
      <c r="U182" s="41">
        <f>100+30.2+130+50+T182</f>
        <v>266.11728999999997</v>
      </c>
      <c r="W182" t="s">
        <v>300</v>
      </c>
      <c r="AC182" s="31"/>
      <c r="AD182" s="16">
        <f t="shared" si="44"/>
        <v>266.11728999999997</v>
      </c>
      <c r="AE182" s="26">
        <v>260.1</v>
      </c>
    </row>
    <row r="183" spans="1:31" ht="69.75" customHeight="1">
      <c r="A183" s="27"/>
      <c r="B183" s="51" t="s">
        <v>301</v>
      </c>
      <c r="C183" s="113" t="s">
        <v>194</v>
      </c>
      <c r="D183" s="113" t="s">
        <v>25</v>
      </c>
      <c r="E183" s="114" t="s">
        <v>105</v>
      </c>
      <c r="F183" s="89"/>
      <c r="G183" s="23">
        <f aca="true" t="shared" si="48" ref="G183:M183">G184+G189</f>
        <v>6337.2</v>
      </c>
      <c r="H183" s="16">
        <f t="shared" si="48"/>
        <v>500</v>
      </c>
      <c r="I183" s="17">
        <f t="shared" si="48"/>
        <v>6837.200000000001</v>
      </c>
      <c r="J183" s="16">
        <f t="shared" si="48"/>
        <v>106</v>
      </c>
      <c r="K183" s="29">
        <f t="shared" si="48"/>
        <v>6943.200000000001</v>
      </c>
      <c r="L183" s="29">
        <f t="shared" si="48"/>
        <v>435</v>
      </c>
      <c r="M183" s="30">
        <f t="shared" si="48"/>
        <v>7378.200000000001</v>
      </c>
      <c r="N183" s="6"/>
      <c r="O183" s="6"/>
      <c r="P183" s="6"/>
      <c r="T183" s="58">
        <f>T184+T189</f>
        <v>-145.50184</v>
      </c>
      <c r="U183" s="16">
        <f>U184+U189</f>
        <v>7232.69816</v>
      </c>
      <c r="AC183" s="31"/>
      <c r="AD183" s="16">
        <f t="shared" si="44"/>
        <v>7232.69816</v>
      </c>
      <c r="AE183" s="26">
        <f aca="true" t="shared" si="49" ref="AE183:AE191">V183+AD183</f>
        <v>7232.69816</v>
      </c>
    </row>
    <row r="184" spans="1:31" ht="55.5" customHeight="1">
      <c r="A184" s="27"/>
      <c r="B184" s="171" t="s">
        <v>302</v>
      </c>
      <c r="C184" s="89" t="s">
        <v>194</v>
      </c>
      <c r="D184" s="89" t="s">
        <v>25</v>
      </c>
      <c r="E184" s="88" t="s">
        <v>303</v>
      </c>
      <c r="F184" s="89"/>
      <c r="G184" s="40">
        <f>G185+G187</f>
        <v>5812.3</v>
      </c>
      <c r="H184" s="41"/>
      <c r="I184" s="42">
        <f>I185+I187</f>
        <v>5812.3</v>
      </c>
      <c r="J184" s="41"/>
      <c r="K184" s="48">
        <f>K185+K187</f>
        <v>5812.3</v>
      </c>
      <c r="L184" s="44"/>
      <c r="M184" s="49">
        <f>M185+M187</f>
        <v>5812.3</v>
      </c>
      <c r="N184" s="6"/>
      <c r="O184" s="6"/>
      <c r="P184" s="6"/>
      <c r="T184" s="36"/>
      <c r="U184" s="40">
        <f>U185+U187</f>
        <v>5812.3</v>
      </c>
      <c r="AC184" s="31"/>
      <c r="AD184" s="23">
        <f t="shared" si="44"/>
        <v>5812.3</v>
      </c>
      <c r="AE184" s="26">
        <f t="shared" si="49"/>
        <v>5812.3</v>
      </c>
    </row>
    <row r="185" spans="1:31" ht="137.25" customHeight="1">
      <c r="A185" s="27"/>
      <c r="B185" s="37" t="s">
        <v>304</v>
      </c>
      <c r="C185" s="89" t="s">
        <v>194</v>
      </c>
      <c r="D185" s="89" t="s">
        <v>25</v>
      </c>
      <c r="E185" s="88" t="s">
        <v>305</v>
      </c>
      <c r="F185" s="89" t="s">
        <v>28</v>
      </c>
      <c r="G185" s="40">
        <v>5439.2</v>
      </c>
      <c r="H185" s="41"/>
      <c r="I185" s="42">
        <v>5439.2</v>
      </c>
      <c r="J185" s="41"/>
      <c r="K185" s="48">
        <v>5439.2</v>
      </c>
      <c r="L185" s="44"/>
      <c r="M185" s="49">
        <v>5439.2</v>
      </c>
      <c r="N185" s="6"/>
      <c r="O185" s="6"/>
      <c r="P185" s="6"/>
      <c r="T185" s="36"/>
      <c r="U185" s="40">
        <v>5439.2</v>
      </c>
      <c r="AC185" s="31"/>
      <c r="AD185" s="23">
        <f t="shared" si="44"/>
        <v>5439.2</v>
      </c>
      <c r="AE185" s="26">
        <f t="shared" si="49"/>
        <v>5439.2</v>
      </c>
    </row>
    <row r="186" spans="1:31" ht="36.75" customHeight="1">
      <c r="A186" s="27"/>
      <c r="B186" s="172" t="s">
        <v>126</v>
      </c>
      <c r="C186" s="89" t="s">
        <v>194</v>
      </c>
      <c r="D186" s="89" t="s">
        <v>25</v>
      </c>
      <c r="E186" s="88" t="s">
        <v>305</v>
      </c>
      <c r="F186" s="89" t="s">
        <v>28</v>
      </c>
      <c r="G186" s="40">
        <v>272</v>
      </c>
      <c r="H186" s="41"/>
      <c r="I186" s="42">
        <v>272</v>
      </c>
      <c r="J186" s="41"/>
      <c r="K186" s="48">
        <v>272</v>
      </c>
      <c r="L186" s="44"/>
      <c r="M186" s="49">
        <v>272</v>
      </c>
      <c r="N186" s="6"/>
      <c r="O186" s="6"/>
      <c r="P186" s="6"/>
      <c r="T186" s="36"/>
      <c r="U186" s="40">
        <v>272</v>
      </c>
      <c r="AC186" s="31"/>
      <c r="AD186" s="23">
        <f t="shared" si="44"/>
        <v>272</v>
      </c>
      <c r="AE186" s="26">
        <f t="shared" si="49"/>
        <v>272</v>
      </c>
    </row>
    <row r="187" spans="1:31" ht="135.75" customHeight="1">
      <c r="A187" s="27"/>
      <c r="B187" s="37" t="s">
        <v>304</v>
      </c>
      <c r="C187" s="89" t="s">
        <v>194</v>
      </c>
      <c r="D187" s="89" t="s">
        <v>25</v>
      </c>
      <c r="E187" s="88" t="s">
        <v>306</v>
      </c>
      <c r="F187" s="89" t="s">
        <v>28</v>
      </c>
      <c r="G187" s="40">
        <v>373.1</v>
      </c>
      <c r="H187" s="41"/>
      <c r="I187" s="42">
        <v>373.1</v>
      </c>
      <c r="J187" s="41"/>
      <c r="K187" s="48">
        <v>373.1</v>
      </c>
      <c r="L187" s="44"/>
      <c r="M187" s="49">
        <v>373.1</v>
      </c>
      <c r="N187" s="6"/>
      <c r="O187" s="6"/>
      <c r="P187" s="6"/>
      <c r="T187" s="36"/>
      <c r="U187" s="40">
        <v>373.1</v>
      </c>
      <c r="AC187" s="31"/>
      <c r="AD187" s="23">
        <f t="shared" si="44"/>
        <v>373.1</v>
      </c>
      <c r="AE187" s="26">
        <f t="shared" si="49"/>
        <v>373.1</v>
      </c>
    </row>
    <row r="188" spans="1:31" ht="37.5" customHeight="1">
      <c r="A188" s="27"/>
      <c r="B188" s="172" t="s">
        <v>126</v>
      </c>
      <c r="C188" s="89" t="s">
        <v>194</v>
      </c>
      <c r="D188" s="89" t="s">
        <v>25</v>
      </c>
      <c r="E188" s="88" t="s">
        <v>306</v>
      </c>
      <c r="F188" s="89" t="s">
        <v>28</v>
      </c>
      <c r="G188" s="40">
        <v>18.7</v>
      </c>
      <c r="H188" s="41"/>
      <c r="I188" s="42">
        <v>18.7</v>
      </c>
      <c r="J188" s="41"/>
      <c r="K188" s="48">
        <v>18.7</v>
      </c>
      <c r="L188" s="44"/>
      <c r="M188" s="49">
        <v>18.7</v>
      </c>
      <c r="N188" s="6"/>
      <c r="O188" s="6"/>
      <c r="P188" s="6"/>
      <c r="T188" s="36"/>
      <c r="U188" s="40">
        <v>18.7</v>
      </c>
      <c r="AC188" s="31"/>
      <c r="AD188" s="23">
        <f t="shared" si="44"/>
        <v>18.7</v>
      </c>
      <c r="AE188" s="26">
        <f t="shared" si="49"/>
        <v>18.7</v>
      </c>
    </row>
    <row r="189" spans="1:31" ht="51.75" customHeight="1">
      <c r="A189" s="27"/>
      <c r="B189" s="37" t="s">
        <v>307</v>
      </c>
      <c r="C189" s="89" t="s">
        <v>194</v>
      </c>
      <c r="D189" s="89" t="s">
        <v>25</v>
      </c>
      <c r="E189" s="88" t="s">
        <v>308</v>
      </c>
      <c r="F189" s="89"/>
      <c r="G189" s="40">
        <f aca="true" t="shared" si="50" ref="G189:M189">G190</f>
        <v>524.9</v>
      </c>
      <c r="H189" s="41">
        <f t="shared" si="50"/>
        <v>500</v>
      </c>
      <c r="I189" s="42">
        <f t="shared" si="50"/>
        <v>1024.9</v>
      </c>
      <c r="J189" s="41">
        <f t="shared" si="50"/>
        <v>106</v>
      </c>
      <c r="K189" s="48">
        <f t="shared" si="50"/>
        <v>1130.9</v>
      </c>
      <c r="L189" s="48">
        <f t="shared" si="50"/>
        <v>435</v>
      </c>
      <c r="M189" s="49">
        <f t="shared" si="50"/>
        <v>1565.9</v>
      </c>
      <c r="N189" s="6"/>
      <c r="O189" s="6"/>
      <c r="P189" s="6"/>
      <c r="T189" s="58">
        <f>T190</f>
        <v>-145.50184</v>
      </c>
      <c r="U189" s="41">
        <f>U190</f>
        <v>1420.3981600000002</v>
      </c>
      <c r="AC189" s="31"/>
      <c r="AD189" s="16">
        <f t="shared" si="44"/>
        <v>1420.3981600000002</v>
      </c>
      <c r="AE189" s="26">
        <f t="shared" si="49"/>
        <v>1420.3981600000002</v>
      </c>
    </row>
    <row r="190" spans="1:31" ht="115.5" customHeight="1">
      <c r="A190" s="27"/>
      <c r="B190" s="37" t="s">
        <v>309</v>
      </c>
      <c r="C190" s="89" t="s">
        <v>194</v>
      </c>
      <c r="D190" s="89" t="s">
        <v>25</v>
      </c>
      <c r="E190" s="88" t="s">
        <v>310</v>
      </c>
      <c r="F190" s="89" t="s">
        <v>28</v>
      </c>
      <c r="G190" s="40">
        <v>524.9</v>
      </c>
      <c r="H190" s="41">
        <f>H191+250</f>
        <v>500</v>
      </c>
      <c r="I190" s="42">
        <f>524.9+500</f>
        <v>1024.9</v>
      </c>
      <c r="J190" s="41">
        <f>0+106</f>
        <v>106</v>
      </c>
      <c r="K190" s="48">
        <f>524.9+500+106</f>
        <v>1130.9</v>
      </c>
      <c r="L190" s="48">
        <f>0-65+500</f>
        <v>435</v>
      </c>
      <c r="M190" s="49">
        <f>524.9+500+106-65+500</f>
        <v>1565.9</v>
      </c>
      <c r="N190" s="6"/>
      <c r="O190" s="6" t="s">
        <v>311</v>
      </c>
      <c r="P190" s="6"/>
      <c r="T190" s="58">
        <f>-211.90184+66.4</f>
        <v>-145.50184</v>
      </c>
      <c r="U190" s="41">
        <f>524.9+500+106-65+500+T190</f>
        <v>1420.3981600000002</v>
      </c>
      <c r="W190" t="s">
        <v>312</v>
      </c>
      <c r="AC190" s="31"/>
      <c r="AD190" s="16">
        <f t="shared" si="44"/>
        <v>1420.3981600000002</v>
      </c>
      <c r="AE190" s="26">
        <f t="shared" si="49"/>
        <v>1420.3981600000002</v>
      </c>
    </row>
    <row r="191" spans="1:31" ht="50.25" customHeight="1">
      <c r="A191" s="27"/>
      <c r="B191" s="105" t="s">
        <v>313</v>
      </c>
      <c r="C191" s="106" t="s">
        <v>194</v>
      </c>
      <c r="D191" s="106" t="s">
        <v>25</v>
      </c>
      <c r="E191" s="126" t="s">
        <v>310</v>
      </c>
      <c r="F191" s="106" t="s">
        <v>28</v>
      </c>
      <c r="G191" s="127">
        <v>0</v>
      </c>
      <c r="H191" s="128">
        <v>250</v>
      </c>
      <c r="I191" s="129">
        <v>250</v>
      </c>
      <c r="J191" s="128">
        <v>0</v>
      </c>
      <c r="K191" s="130">
        <v>250</v>
      </c>
      <c r="L191" s="170">
        <v>-0.5</v>
      </c>
      <c r="M191" s="131">
        <f>K191+L191</f>
        <v>249.5</v>
      </c>
      <c r="N191" s="6"/>
      <c r="O191" s="6"/>
      <c r="P191" s="6"/>
      <c r="T191" s="36"/>
      <c r="U191" s="127">
        <f>M191</f>
        <v>249.5</v>
      </c>
      <c r="AC191" s="31"/>
      <c r="AD191" s="23">
        <f t="shared" si="44"/>
        <v>249.5</v>
      </c>
      <c r="AE191" s="26">
        <f t="shared" si="49"/>
        <v>249.5</v>
      </c>
    </row>
    <row r="192" spans="1:31" ht="31.5" customHeight="1" hidden="1">
      <c r="A192" s="27"/>
      <c r="B192" s="52" t="s">
        <v>31</v>
      </c>
      <c r="C192" s="55" t="s">
        <v>194</v>
      </c>
      <c r="D192" s="55" t="s">
        <v>25</v>
      </c>
      <c r="E192" s="56" t="s">
        <v>18</v>
      </c>
      <c r="F192" s="106"/>
      <c r="G192" s="127"/>
      <c r="H192" s="128"/>
      <c r="I192" s="129"/>
      <c r="J192" s="128"/>
      <c r="K192" s="130"/>
      <c r="L192" s="48">
        <f>L193</f>
        <v>14.1</v>
      </c>
      <c r="M192" s="49">
        <f>M193</f>
        <v>14.1</v>
      </c>
      <c r="N192" s="6"/>
      <c r="O192" s="6"/>
      <c r="P192" s="6"/>
      <c r="T192" s="36"/>
      <c r="U192" s="40">
        <f>U193</f>
        <v>14.1</v>
      </c>
      <c r="AC192" s="31"/>
      <c r="AD192" s="23">
        <f t="shared" si="44"/>
        <v>14.1</v>
      </c>
      <c r="AE192" s="26">
        <v>0</v>
      </c>
    </row>
    <row r="193" spans="1:31" ht="27.75" customHeight="1" hidden="1">
      <c r="A193" s="27"/>
      <c r="B193" s="52" t="s">
        <v>19</v>
      </c>
      <c r="C193" s="55" t="s">
        <v>194</v>
      </c>
      <c r="D193" s="55" t="s">
        <v>25</v>
      </c>
      <c r="E193" s="56" t="s">
        <v>33</v>
      </c>
      <c r="F193" s="106"/>
      <c r="G193" s="127"/>
      <c r="H193" s="128"/>
      <c r="I193" s="129"/>
      <c r="J193" s="128"/>
      <c r="K193" s="130"/>
      <c r="L193" s="48">
        <f>L194</f>
        <v>14.1</v>
      </c>
      <c r="M193" s="49">
        <f>M194</f>
        <v>14.1</v>
      </c>
      <c r="N193" s="6"/>
      <c r="O193" s="6"/>
      <c r="P193" s="6"/>
      <c r="T193" s="36"/>
      <c r="U193" s="40">
        <f>U194</f>
        <v>14.1</v>
      </c>
      <c r="AC193" s="31"/>
      <c r="AD193" s="23">
        <f t="shared" si="44"/>
        <v>14.1</v>
      </c>
      <c r="AE193" s="26">
        <v>0</v>
      </c>
    </row>
    <row r="194" spans="1:31" ht="69.75" customHeight="1" hidden="1">
      <c r="A194" s="27"/>
      <c r="B194" s="52" t="s">
        <v>314</v>
      </c>
      <c r="C194" s="55" t="s">
        <v>194</v>
      </c>
      <c r="D194" s="55" t="s">
        <v>25</v>
      </c>
      <c r="E194" s="56" t="s">
        <v>315</v>
      </c>
      <c r="F194" s="55" t="s">
        <v>28</v>
      </c>
      <c r="G194" s="127"/>
      <c r="H194" s="128"/>
      <c r="I194" s="129"/>
      <c r="J194" s="128"/>
      <c r="K194" s="48">
        <v>0</v>
      </c>
      <c r="L194" s="48">
        <f>14.1</f>
        <v>14.1</v>
      </c>
      <c r="M194" s="49">
        <f>K194+L194</f>
        <v>14.1</v>
      </c>
      <c r="N194" s="6"/>
      <c r="O194" s="6"/>
      <c r="P194" s="6"/>
      <c r="T194" s="36"/>
      <c r="U194" s="40">
        <f>M194</f>
        <v>14.1</v>
      </c>
      <c r="AC194" s="31"/>
      <c r="AD194" s="23">
        <f t="shared" si="44"/>
        <v>14.1</v>
      </c>
      <c r="AE194" s="26">
        <v>0</v>
      </c>
    </row>
    <row r="195" spans="1:31" ht="42" customHeight="1">
      <c r="A195" s="27"/>
      <c r="B195" s="20" t="s">
        <v>316</v>
      </c>
      <c r="C195" s="69" t="s">
        <v>194</v>
      </c>
      <c r="D195" s="69" t="s">
        <v>194</v>
      </c>
      <c r="E195" s="70" t="s">
        <v>16</v>
      </c>
      <c r="F195" s="69"/>
      <c r="G195" s="23">
        <f aca="true" t="shared" si="51" ref="G195:M197">G196</f>
        <v>2561.6</v>
      </c>
      <c r="H195" s="16">
        <f t="shared" si="51"/>
        <v>92.216</v>
      </c>
      <c r="I195" s="17">
        <f t="shared" si="51"/>
        <v>2653.816</v>
      </c>
      <c r="J195" s="16">
        <f t="shared" si="51"/>
        <v>0</v>
      </c>
      <c r="K195" s="34">
        <f t="shared" si="51"/>
        <v>2653.816</v>
      </c>
      <c r="L195" s="18">
        <f t="shared" si="51"/>
        <v>-74.4</v>
      </c>
      <c r="M195" s="35">
        <f t="shared" si="51"/>
        <v>2579.4159999999997</v>
      </c>
      <c r="N195" s="6"/>
      <c r="O195" s="6"/>
      <c r="P195" s="6"/>
      <c r="T195" s="36"/>
      <c r="U195" s="32">
        <f>U196</f>
        <v>2579.4159999999997</v>
      </c>
      <c r="AC195" s="31"/>
      <c r="AD195" s="32">
        <f t="shared" si="44"/>
        <v>2579.4159999999997</v>
      </c>
      <c r="AE195" s="26">
        <f>AE196</f>
        <v>2488.9</v>
      </c>
    </row>
    <row r="196" spans="1:31" ht="117" customHeight="1">
      <c r="A196" s="27"/>
      <c r="B196" s="52" t="s">
        <v>62</v>
      </c>
      <c r="C196" s="55" t="s">
        <v>194</v>
      </c>
      <c r="D196" s="55" t="s">
        <v>194</v>
      </c>
      <c r="E196" s="56" t="s">
        <v>16</v>
      </c>
      <c r="F196" s="55"/>
      <c r="G196" s="40">
        <f t="shared" si="51"/>
        <v>2561.6</v>
      </c>
      <c r="H196" s="41">
        <f t="shared" si="51"/>
        <v>92.216</v>
      </c>
      <c r="I196" s="42">
        <f t="shared" si="51"/>
        <v>2653.816</v>
      </c>
      <c r="J196" s="41">
        <f t="shared" si="51"/>
        <v>0</v>
      </c>
      <c r="K196" s="43">
        <f t="shared" si="51"/>
        <v>2653.816</v>
      </c>
      <c r="L196" s="44">
        <f t="shared" si="51"/>
        <v>-74.4</v>
      </c>
      <c r="M196" s="45">
        <f t="shared" si="51"/>
        <v>2579.4159999999997</v>
      </c>
      <c r="N196" s="6"/>
      <c r="O196" s="6"/>
      <c r="P196" s="6"/>
      <c r="T196" s="36"/>
      <c r="U196" s="46">
        <f>U197</f>
        <v>2579.4159999999997</v>
      </c>
      <c r="AC196" s="31"/>
      <c r="AD196" s="32">
        <f t="shared" si="44"/>
        <v>2579.4159999999997</v>
      </c>
      <c r="AE196" s="26">
        <f>AE197</f>
        <v>2488.9</v>
      </c>
    </row>
    <row r="197" spans="1:31" ht="39" customHeight="1">
      <c r="A197" s="27"/>
      <c r="B197" s="59" t="s">
        <v>182</v>
      </c>
      <c r="C197" s="55" t="s">
        <v>194</v>
      </c>
      <c r="D197" s="55" t="s">
        <v>194</v>
      </c>
      <c r="E197" s="56" t="s">
        <v>64</v>
      </c>
      <c r="F197" s="55"/>
      <c r="G197" s="40">
        <f t="shared" si="51"/>
        <v>2561.6</v>
      </c>
      <c r="H197" s="41">
        <f t="shared" si="51"/>
        <v>92.216</v>
      </c>
      <c r="I197" s="42">
        <f t="shared" si="51"/>
        <v>2653.816</v>
      </c>
      <c r="J197" s="41">
        <f t="shared" si="51"/>
        <v>0</v>
      </c>
      <c r="K197" s="43">
        <f t="shared" si="51"/>
        <v>2653.816</v>
      </c>
      <c r="L197" s="44">
        <f t="shared" si="51"/>
        <v>-74.4</v>
      </c>
      <c r="M197" s="45">
        <f t="shared" si="51"/>
        <v>2579.4159999999997</v>
      </c>
      <c r="N197" s="6"/>
      <c r="O197" s="6"/>
      <c r="P197" s="6"/>
      <c r="T197" s="36"/>
      <c r="U197" s="46">
        <f>U198</f>
        <v>2579.4159999999997</v>
      </c>
      <c r="AC197" s="31"/>
      <c r="AD197" s="32">
        <f t="shared" si="44"/>
        <v>2579.4159999999997</v>
      </c>
      <c r="AE197" s="26">
        <f>AE198</f>
        <v>2488.9</v>
      </c>
    </row>
    <row r="198" spans="1:31" ht="180.75" customHeight="1">
      <c r="A198" s="27"/>
      <c r="B198" s="59" t="s">
        <v>65</v>
      </c>
      <c r="C198" s="55" t="s">
        <v>194</v>
      </c>
      <c r="D198" s="55" t="s">
        <v>194</v>
      </c>
      <c r="E198" s="56" t="s">
        <v>66</v>
      </c>
      <c r="F198" s="55" t="s">
        <v>23</v>
      </c>
      <c r="G198" s="40">
        <v>2561.6</v>
      </c>
      <c r="H198" s="41">
        <v>92.216</v>
      </c>
      <c r="I198" s="42">
        <f>2561.6+92.216</f>
        <v>2653.816</v>
      </c>
      <c r="J198" s="41">
        <v>0</v>
      </c>
      <c r="K198" s="43">
        <f>2561.6+92.216</f>
        <v>2653.816</v>
      </c>
      <c r="L198" s="44">
        <f>-60-14.4</f>
        <v>-74.4</v>
      </c>
      <c r="M198" s="45">
        <f>2561.6+92.216-60-14.4</f>
        <v>2579.4159999999997</v>
      </c>
      <c r="N198" s="6"/>
      <c r="O198" s="6"/>
      <c r="P198" s="6"/>
      <c r="T198" s="36"/>
      <c r="U198" s="46">
        <f>2561.6+92.216-60-14.4</f>
        <v>2579.4159999999997</v>
      </c>
      <c r="AC198" s="31"/>
      <c r="AD198" s="32">
        <f t="shared" si="44"/>
        <v>2579.4159999999997</v>
      </c>
      <c r="AE198" s="26">
        <v>2488.9</v>
      </c>
    </row>
    <row r="199" spans="1:31" ht="15.75">
      <c r="A199" s="27"/>
      <c r="B199" s="20" t="s">
        <v>317</v>
      </c>
      <c r="C199" s="69" t="s">
        <v>163</v>
      </c>
      <c r="D199" s="69"/>
      <c r="E199" s="56"/>
      <c r="F199" s="55"/>
      <c r="G199" s="23">
        <f aca="true" t="shared" si="52" ref="G199:M199">G200</f>
        <v>26436.5</v>
      </c>
      <c r="H199" s="16">
        <f t="shared" si="52"/>
        <v>210.364</v>
      </c>
      <c r="I199" s="17">
        <f t="shared" si="52"/>
        <v>26646.864</v>
      </c>
      <c r="J199" s="16">
        <f t="shared" si="52"/>
        <v>493.73526</v>
      </c>
      <c r="K199" s="18">
        <f t="shared" si="52"/>
        <v>27140.59926</v>
      </c>
      <c r="L199" s="18">
        <f t="shared" si="52"/>
        <v>214.06474</v>
      </c>
      <c r="M199" s="35">
        <f t="shared" si="52"/>
        <v>27354.663999999997</v>
      </c>
      <c r="N199" s="6"/>
      <c r="O199" s="6"/>
      <c r="P199" s="6"/>
      <c r="T199" s="36"/>
      <c r="U199" s="32">
        <f>U200</f>
        <v>27354.663999999997</v>
      </c>
      <c r="AC199" s="31"/>
      <c r="AD199" s="32">
        <f t="shared" si="44"/>
        <v>27354.663999999997</v>
      </c>
      <c r="AE199" s="26">
        <v>27347.7</v>
      </c>
    </row>
    <row r="200" spans="1:31" ht="24" customHeight="1">
      <c r="A200" s="27"/>
      <c r="B200" s="173" t="s">
        <v>318</v>
      </c>
      <c r="C200" s="69" t="s">
        <v>163</v>
      </c>
      <c r="D200" s="69" t="s">
        <v>14</v>
      </c>
      <c r="E200" s="70"/>
      <c r="F200" s="69"/>
      <c r="G200" s="23">
        <f>G201+G204+G219+G225</f>
        <v>26436.5</v>
      </c>
      <c r="H200" s="16">
        <f>H201+H204+H219+H225</f>
        <v>210.364</v>
      </c>
      <c r="I200" s="17">
        <f>I201+I204+I219+I225</f>
        <v>26646.864</v>
      </c>
      <c r="J200" s="16">
        <f>J201+J204+J219+J223</f>
        <v>493.73526</v>
      </c>
      <c r="K200" s="18">
        <f>K201+K204+K219+K225</f>
        <v>27140.59926</v>
      </c>
      <c r="L200" s="18">
        <f>L201+L204+L219+L223</f>
        <v>214.06474</v>
      </c>
      <c r="M200" s="35">
        <f>M201+M204+M219+M225</f>
        <v>27354.663999999997</v>
      </c>
      <c r="N200" s="6"/>
      <c r="O200" s="6"/>
      <c r="P200" s="6"/>
      <c r="T200" s="36"/>
      <c r="U200" s="32">
        <f>U201+U204+U219+U225</f>
        <v>27354.663999999997</v>
      </c>
      <c r="AC200" s="31"/>
      <c r="AD200" s="32">
        <f t="shared" si="44"/>
        <v>27354.663999999997</v>
      </c>
      <c r="AE200" s="26">
        <f>AE201+AE204+AE219+AE223</f>
        <v>27347.663999999997</v>
      </c>
    </row>
    <row r="201" spans="1:31" ht="120" customHeight="1">
      <c r="A201" s="27"/>
      <c r="B201" s="20" t="s">
        <v>62</v>
      </c>
      <c r="C201" s="69" t="s">
        <v>163</v>
      </c>
      <c r="D201" s="69" t="s">
        <v>14</v>
      </c>
      <c r="E201" s="70" t="s">
        <v>16</v>
      </c>
      <c r="F201" s="69"/>
      <c r="G201" s="23">
        <f>G202</f>
        <v>2553.7</v>
      </c>
      <c r="H201" s="16"/>
      <c r="I201" s="17">
        <f aca="true" t="shared" si="53" ref="I201:M202">I202</f>
        <v>2553.7</v>
      </c>
      <c r="J201" s="16">
        <f t="shared" si="53"/>
        <v>152.2</v>
      </c>
      <c r="K201" s="29">
        <f t="shared" si="53"/>
        <v>2705.8999999999996</v>
      </c>
      <c r="L201" s="29">
        <f t="shared" si="53"/>
        <v>0</v>
      </c>
      <c r="M201" s="30">
        <f t="shared" si="53"/>
        <v>2705.8999999999996</v>
      </c>
      <c r="N201" s="6"/>
      <c r="O201" s="6"/>
      <c r="P201" s="6"/>
      <c r="T201" s="36"/>
      <c r="U201" s="23">
        <f>U202</f>
        <v>2705.8999999999996</v>
      </c>
      <c r="AC201" s="31"/>
      <c r="AD201" s="23">
        <f t="shared" si="44"/>
        <v>2705.8999999999996</v>
      </c>
      <c r="AE201" s="26">
        <f>AE202</f>
        <v>2698.9</v>
      </c>
    </row>
    <row r="202" spans="1:31" ht="36" customHeight="1">
      <c r="A202" s="27"/>
      <c r="B202" s="59" t="s">
        <v>182</v>
      </c>
      <c r="C202" s="55" t="s">
        <v>163</v>
      </c>
      <c r="D202" s="55" t="s">
        <v>14</v>
      </c>
      <c r="E202" s="56" t="s">
        <v>64</v>
      </c>
      <c r="F202" s="55"/>
      <c r="G202" s="40">
        <f>G203</f>
        <v>2553.7</v>
      </c>
      <c r="H202" s="41"/>
      <c r="I202" s="42">
        <f t="shared" si="53"/>
        <v>2553.7</v>
      </c>
      <c r="J202" s="41">
        <f t="shared" si="53"/>
        <v>152.2</v>
      </c>
      <c r="K202" s="48">
        <f t="shared" si="53"/>
        <v>2705.8999999999996</v>
      </c>
      <c r="L202" s="48">
        <f t="shared" si="53"/>
        <v>0</v>
      </c>
      <c r="M202" s="49">
        <f t="shared" si="53"/>
        <v>2705.8999999999996</v>
      </c>
      <c r="N202" s="6"/>
      <c r="O202" s="6"/>
      <c r="P202" s="6"/>
      <c r="T202" s="36"/>
      <c r="U202" s="40">
        <f>U203</f>
        <v>2705.8999999999996</v>
      </c>
      <c r="AC202" s="31"/>
      <c r="AD202" s="23">
        <f t="shared" si="44"/>
        <v>2705.8999999999996</v>
      </c>
      <c r="AE202" s="26">
        <f>AE203</f>
        <v>2698.9</v>
      </c>
    </row>
    <row r="203" spans="1:31" ht="184.5" customHeight="1">
      <c r="A203" s="27"/>
      <c r="B203" s="59" t="s">
        <v>65</v>
      </c>
      <c r="C203" s="55" t="s">
        <v>163</v>
      </c>
      <c r="D203" s="55" t="s">
        <v>14</v>
      </c>
      <c r="E203" s="56" t="s">
        <v>66</v>
      </c>
      <c r="F203" s="55" t="s">
        <v>23</v>
      </c>
      <c r="G203" s="40">
        <v>2553.7</v>
      </c>
      <c r="H203" s="41"/>
      <c r="I203" s="42">
        <v>2553.7</v>
      </c>
      <c r="J203" s="41">
        <f>0+152.2</f>
        <v>152.2</v>
      </c>
      <c r="K203" s="48">
        <f>2553.7+152.2</f>
        <v>2705.8999999999996</v>
      </c>
      <c r="L203" s="48">
        <v>0</v>
      </c>
      <c r="M203" s="49">
        <f>2553.7+152.2</f>
        <v>2705.8999999999996</v>
      </c>
      <c r="N203" s="6"/>
      <c r="O203" s="6"/>
      <c r="P203" s="6"/>
      <c r="T203" s="36"/>
      <c r="U203" s="40">
        <f>2553.7+152.2</f>
        <v>2705.8999999999996</v>
      </c>
      <c r="AC203" s="31"/>
      <c r="AD203" s="23">
        <f t="shared" si="44"/>
        <v>2705.8999999999996</v>
      </c>
      <c r="AE203" s="26">
        <v>2698.9</v>
      </c>
    </row>
    <row r="204" spans="1:31" ht="98.25" customHeight="1">
      <c r="A204" s="27"/>
      <c r="B204" s="174" t="s">
        <v>319</v>
      </c>
      <c r="C204" s="175" t="s">
        <v>163</v>
      </c>
      <c r="D204" s="69" t="s">
        <v>14</v>
      </c>
      <c r="E204" s="70" t="s">
        <v>320</v>
      </c>
      <c r="F204" s="69"/>
      <c r="G204" s="23">
        <f aca="true" t="shared" si="54" ref="G204:M204">G205+G207+G212</f>
        <v>12727.9</v>
      </c>
      <c r="H204" s="16">
        <f t="shared" si="54"/>
        <v>210.364</v>
      </c>
      <c r="I204" s="17">
        <f t="shared" si="54"/>
        <v>12938.264</v>
      </c>
      <c r="J204" s="16">
        <f t="shared" si="54"/>
        <v>342.43525999999997</v>
      </c>
      <c r="K204" s="18">
        <f t="shared" si="54"/>
        <v>13280.69926</v>
      </c>
      <c r="L204" s="18">
        <f t="shared" si="54"/>
        <v>214.06474</v>
      </c>
      <c r="M204" s="35">
        <f t="shared" si="54"/>
        <v>13494.764</v>
      </c>
      <c r="N204" s="6"/>
      <c r="O204" s="6"/>
      <c r="P204" s="6"/>
      <c r="T204" s="36"/>
      <c r="U204" s="32">
        <f>U205+U207+U212</f>
        <v>13494.764</v>
      </c>
      <c r="AC204" s="31"/>
      <c r="AD204" s="35">
        <f t="shared" si="44"/>
        <v>13494.764</v>
      </c>
      <c r="AE204" s="26">
        <f aca="true" t="shared" si="55" ref="AE204:AE225">V204+AD204</f>
        <v>13494.764</v>
      </c>
    </row>
    <row r="205" spans="1:31" ht="47.25">
      <c r="A205" s="27"/>
      <c r="B205" s="176" t="s">
        <v>321</v>
      </c>
      <c r="C205" s="96" t="s">
        <v>163</v>
      </c>
      <c r="D205" s="55" t="s">
        <v>14</v>
      </c>
      <c r="E205" s="56" t="s">
        <v>322</v>
      </c>
      <c r="F205" s="55"/>
      <c r="G205" s="40">
        <f aca="true" t="shared" si="56" ref="G205:M205">G206</f>
        <v>121</v>
      </c>
      <c r="H205" s="41">
        <f t="shared" si="56"/>
        <v>0</v>
      </c>
      <c r="I205" s="42">
        <f t="shared" si="56"/>
        <v>121</v>
      </c>
      <c r="J205" s="41">
        <f t="shared" si="56"/>
        <v>127.93526</v>
      </c>
      <c r="K205" s="44">
        <f t="shared" si="56"/>
        <v>248.93526</v>
      </c>
      <c r="L205" s="44">
        <f t="shared" si="56"/>
        <v>-127.93526</v>
      </c>
      <c r="M205" s="49">
        <f t="shared" si="56"/>
        <v>121</v>
      </c>
      <c r="N205" s="6"/>
      <c r="O205" s="6"/>
      <c r="P205" s="6"/>
      <c r="T205" s="36"/>
      <c r="U205" s="40">
        <f>U206</f>
        <v>121</v>
      </c>
      <c r="AC205" s="31"/>
      <c r="AD205" s="23">
        <f t="shared" si="44"/>
        <v>121</v>
      </c>
      <c r="AE205" s="26">
        <f t="shared" si="55"/>
        <v>121</v>
      </c>
    </row>
    <row r="206" spans="1:31" ht="105" customHeight="1">
      <c r="A206" s="27"/>
      <c r="B206" s="176" t="s">
        <v>323</v>
      </c>
      <c r="C206" s="96" t="s">
        <v>163</v>
      </c>
      <c r="D206" s="55" t="s">
        <v>14</v>
      </c>
      <c r="E206" s="56" t="s">
        <v>324</v>
      </c>
      <c r="F206" s="55" t="s">
        <v>325</v>
      </c>
      <c r="G206" s="40">
        <f>80+41</f>
        <v>121</v>
      </c>
      <c r="H206" s="41">
        <f>-15.364+15.364</f>
        <v>0</v>
      </c>
      <c r="I206" s="42">
        <f>80+41</f>
        <v>121</v>
      </c>
      <c r="J206" s="41">
        <f>-15.364+15.364+127.93526</f>
        <v>127.93526</v>
      </c>
      <c r="K206" s="44">
        <f>80+41+127.93526</f>
        <v>248.93526</v>
      </c>
      <c r="L206" s="44">
        <v>-127.93526</v>
      </c>
      <c r="M206" s="49">
        <f>80+41+127.93526-127.93526</f>
        <v>121</v>
      </c>
      <c r="N206" s="6"/>
      <c r="O206" s="6"/>
      <c r="P206" s="6"/>
      <c r="T206" s="36"/>
      <c r="U206" s="40">
        <f>80+41+127.93526-127.93526</f>
        <v>121</v>
      </c>
      <c r="AC206" s="31"/>
      <c r="AD206" s="23">
        <f t="shared" si="44"/>
        <v>121</v>
      </c>
      <c r="AE206" s="26">
        <f t="shared" si="55"/>
        <v>121</v>
      </c>
    </row>
    <row r="207" spans="1:31" ht="38.25" customHeight="1">
      <c r="A207" s="27"/>
      <c r="B207" s="52" t="s">
        <v>326</v>
      </c>
      <c r="C207" s="55" t="s">
        <v>163</v>
      </c>
      <c r="D207" s="55" t="s">
        <v>14</v>
      </c>
      <c r="E207" s="56" t="s">
        <v>327</v>
      </c>
      <c r="F207" s="55"/>
      <c r="G207" s="40">
        <f aca="true" t="shared" si="57" ref="G207:M207">G208+G209+G210</f>
        <v>12475.3</v>
      </c>
      <c r="H207" s="41">
        <f t="shared" si="57"/>
        <v>129.5</v>
      </c>
      <c r="I207" s="42">
        <f t="shared" si="57"/>
        <v>12604.8</v>
      </c>
      <c r="J207" s="41">
        <f t="shared" si="57"/>
        <v>214.5</v>
      </c>
      <c r="K207" s="48">
        <f t="shared" si="57"/>
        <v>12819.3</v>
      </c>
      <c r="L207" s="48">
        <f t="shared" si="57"/>
        <v>342</v>
      </c>
      <c r="M207" s="49">
        <f t="shared" si="57"/>
        <v>13161.3</v>
      </c>
      <c r="N207" s="6"/>
      <c r="O207" s="6"/>
      <c r="P207" s="6"/>
      <c r="T207" s="36"/>
      <c r="U207" s="40">
        <f>U208+U209+U210</f>
        <v>13161.3</v>
      </c>
      <c r="AC207" s="31"/>
      <c r="AD207" s="23">
        <f t="shared" si="44"/>
        <v>13161.3</v>
      </c>
      <c r="AE207" s="26">
        <f t="shared" si="55"/>
        <v>13161.3</v>
      </c>
    </row>
    <row r="208" spans="1:31" ht="104.25" customHeight="1">
      <c r="A208" s="27"/>
      <c r="B208" s="47" t="s">
        <v>328</v>
      </c>
      <c r="C208" s="55" t="s">
        <v>163</v>
      </c>
      <c r="D208" s="55" t="s">
        <v>14</v>
      </c>
      <c r="E208" s="56" t="s">
        <v>329</v>
      </c>
      <c r="F208" s="55" t="s">
        <v>325</v>
      </c>
      <c r="G208" s="40">
        <v>6367.8</v>
      </c>
      <c r="H208" s="41"/>
      <c r="I208" s="42">
        <v>6367.8</v>
      </c>
      <c r="J208" s="41">
        <f>0.9+100+101</f>
        <v>201.9</v>
      </c>
      <c r="K208" s="48">
        <f>6367.8+101.9+100</f>
        <v>6569.7</v>
      </c>
      <c r="L208" s="48">
        <f>0+199.5+60.3-15.3</f>
        <v>244.5</v>
      </c>
      <c r="M208" s="49">
        <f>6367.8+101.9+100+199.5+60.3-15.3</f>
        <v>6814.2</v>
      </c>
      <c r="N208" s="6"/>
      <c r="O208" s="6"/>
      <c r="P208" s="6"/>
      <c r="T208" s="36"/>
      <c r="U208" s="40">
        <f>6367.8+101.9+100+199.5+60.3-15.3</f>
        <v>6814.2</v>
      </c>
      <c r="AC208" s="31"/>
      <c r="AD208" s="23">
        <f t="shared" si="44"/>
        <v>6814.2</v>
      </c>
      <c r="AE208" s="26">
        <f t="shared" si="55"/>
        <v>6814.2</v>
      </c>
    </row>
    <row r="209" spans="1:31" ht="118.5" customHeight="1">
      <c r="A209" s="27"/>
      <c r="B209" s="177" t="s">
        <v>330</v>
      </c>
      <c r="C209" s="65" t="s">
        <v>163</v>
      </c>
      <c r="D209" s="65" t="s">
        <v>14</v>
      </c>
      <c r="E209" s="66" t="s">
        <v>331</v>
      </c>
      <c r="F209" s="55" t="s">
        <v>325</v>
      </c>
      <c r="G209" s="40">
        <v>1787.5</v>
      </c>
      <c r="H209" s="41"/>
      <c r="I209" s="42">
        <v>1787.5</v>
      </c>
      <c r="J209" s="41">
        <f>0+12.6</f>
        <v>12.6</v>
      </c>
      <c r="K209" s="48">
        <f>1787.5+12.6</f>
        <v>1800.1</v>
      </c>
      <c r="L209" s="44">
        <v>17</v>
      </c>
      <c r="M209" s="49">
        <f>1787.5+12.6+17</f>
        <v>1817.1</v>
      </c>
      <c r="N209" s="6"/>
      <c r="O209" s="6"/>
      <c r="P209" s="6"/>
      <c r="T209" s="36"/>
      <c r="U209" s="40">
        <f>1787.5+12.6+17</f>
        <v>1817.1</v>
      </c>
      <c r="AC209" s="31"/>
      <c r="AD209" s="23">
        <f t="shared" si="44"/>
        <v>1817.1</v>
      </c>
      <c r="AE209" s="26">
        <f t="shared" si="55"/>
        <v>1817.1</v>
      </c>
    </row>
    <row r="210" spans="1:31" ht="178.5" customHeight="1">
      <c r="A210" s="27"/>
      <c r="B210" s="178" t="s">
        <v>332</v>
      </c>
      <c r="C210" s="55" t="s">
        <v>163</v>
      </c>
      <c r="D210" s="55" t="s">
        <v>14</v>
      </c>
      <c r="E210" s="56" t="s">
        <v>333</v>
      </c>
      <c r="F210" s="55" t="s">
        <v>325</v>
      </c>
      <c r="G210" s="40">
        <f>3499.1+820.9</f>
        <v>4320</v>
      </c>
      <c r="H210" s="41">
        <f>105+24.5</f>
        <v>129.5</v>
      </c>
      <c r="I210" s="42">
        <f>3499.1+820.9+105+24.5</f>
        <v>4449.5</v>
      </c>
      <c r="J210" s="41">
        <v>0</v>
      </c>
      <c r="K210" s="48">
        <f>3499.1+820.9+105+24.5</f>
        <v>4449.5</v>
      </c>
      <c r="L210" s="48">
        <f>10.6+3.2+39.5+11.9+9.3+2.8+0.7+2.5</f>
        <v>80.5</v>
      </c>
      <c r="M210" s="49">
        <f>3499.1+820.9+105+24.5+10.6+3.2+39.5+11.9+9.3+2.8+0.7+2.5</f>
        <v>4530</v>
      </c>
      <c r="N210" s="6"/>
      <c r="O210" s="6"/>
      <c r="P210" s="6"/>
      <c r="T210" s="36"/>
      <c r="U210" s="40">
        <f>3499.1+820.9+105+24.5+10.6+3.2+39.5+11.9+9.3+2.8+0.7+2.5</f>
        <v>4530</v>
      </c>
      <c r="AC210" s="31"/>
      <c r="AD210" s="23">
        <f t="shared" si="44"/>
        <v>4530</v>
      </c>
      <c r="AE210" s="26">
        <f t="shared" si="55"/>
        <v>4530</v>
      </c>
    </row>
    <row r="211" spans="1:31" ht="36.75" customHeight="1">
      <c r="A211" s="27"/>
      <c r="B211" s="179" t="s">
        <v>126</v>
      </c>
      <c r="C211" s="55" t="s">
        <v>163</v>
      </c>
      <c r="D211" s="55" t="s">
        <v>14</v>
      </c>
      <c r="E211" s="56" t="s">
        <v>333</v>
      </c>
      <c r="F211" s="55" t="s">
        <v>325</v>
      </c>
      <c r="G211" s="40">
        <v>820.9</v>
      </c>
      <c r="H211" s="41">
        <v>24.5</v>
      </c>
      <c r="I211" s="42">
        <f>820.9+24.5</f>
        <v>845.4</v>
      </c>
      <c r="J211" s="41">
        <v>0</v>
      </c>
      <c r="K211" s="48">
        <f>820.9+24.5</f>
        <v>845.4</v>
      </c>
      <c r="L211" s="44">
        <v>15.3</v>
      </c>
      <c r="M211" s="49">
        <f>820.9+24.5+15.3</f>
        <v>860.6999999999999</v>
      </c>
      <c r="N211" s="6"/>
      <c r="O211" s="6"/>
      <c r="P211" s="6"/>
      <c r="T211" s="36"/>
      <c r="U211" s="40">
        <f>820.9+24.5+15.3</f>
        <v>860.6999999999999</v>
      </c>
      <c r="AC211" s="31"/>
      <c r="AD211" s="23">
        <f t="shared" si="44"/>
        <v>860.6999999999999</v>
      </c>
      <c r="AE211" s="26">
        <f t="shared" si="55"/>
        <v>860.6999999999999</v>
      </c>
    </row>
    <row r="212" spans="1:31" ht="63">
      <c r="A212" s="27"/>
      <c r="B212" s="119" t="s">
        <v>334</v>
      </c>
      <c r="C212" s="89" t="s">
        <v>163</v>
      </c>
      <c r="D212" s="89" t="s">
        <v>14</v>
      </c>
      <c r="E212" s="88" t="s">
        <v>335</v>
      </c>
      <c r="F212" s="89"/>
      <c r="G212" s="40">
        <f>G213</f>
        <v>131.6</v>
      </c>
      <c r="H212" s="41">
        <f aca="true" t="shared" si="58" ref="H212:M212">H213+H215+H217</f>
        <v>80.864</v>
      </c>
      <c r="I212" s="42">
        <f t="shared" si="58"/>
        <v>212.464</v>
      </c>
      <c r="J212" s="41">
        <f t="shared" si="58"/>
        <v>0</v>
      </c>
      <c r="K212" s="43">
        <f t="shared" si="58"/>
        <v>212.464</v>
      </c>
      <c r="L212" s="44">
        <f t="shared" si="58"/>
        <v>0</v>
      </c>
      <c r="M212" s="45">
        <f t="shared" si="58"/>
        <v>212.464</v>
      </c>
      <c r="N212" s="6"/>
      <c r="O212" s="6"/>
      <c r="P212" s="6"/>
      <c r="T212" s="36"/>
      <c r="U212" s="46">
        <f>U213+U215+U217</f>
        <v>212.464</v>
      </c>
      <c r="AC212" s="31"/>
      <c r="AD212" s="32">
        <f t="shared" si="44"/>
        <v>212.464</v>
      </c>
      <c r="AE212" s="26">
        <f t="shared" si="55"/>
        <v>212.464</v>
      </c>
    </row>
    <row r="213" spans="1:31" ht="141.75" hidden="1">
      <c r="A213" s="27"/>
      <c r="B213" s="119" t="s">
        <v>336</v>
      </c>
      <c r="C213" s="89" t="s">
        <v>163</v>
      </c>
      <c r="D213" s="89" t="s">
        <v>14</v>
      </c>
      <c r="E213" s="88" t="s">
        <v>337</v>
      </c>
      <c r="F213" s="89" t="s">
        <v>325</v>
      </c>
      <c r="G213" s="40">
        <f>125+6.6</f>
        <v>131.6</v>
      </c>
      <c r="H213" s="41">
        <v>-131.6</v>
      </c>
      <c r="I213" s="42">
        <f aca="true" t="shared" si="59" ref="I213:I218">G213+H213</f>
        <v>0</v>
      </c>
      <c r="J213" s="41">
        <v>0</v>
      </c>
      <c r="K213" s="43">
        <f aca="true" t="shared" si="60" ref="K213:K218">I213+J213</f>
        <v>0</v>
      </c>
      <c r="L213" s="44">
        <v>0</v>
      </c>
      <c r="M213" s="45">
        <f aca="true" t="shared" si="61" ref="M213:M218">K213+L213</f>
        <v>0</v>
      </c>
      <c r="N213" s="6"/>
      <c r="O213" s="6"/>
      <c r="P213" s="6"/>
      <c r="T213" s="36"/>
      <c r="U213" s="46">
        <f>S213+T213</f>
        <v>0</v>
      </c>
      <c r="AC213" s="31"/>
      <c r="AD213" s="16">
        <f t="shared" si="44"/>
        <v>0</v>
      </c>
      <c r="AE213" s="16">
        <f t="shared" si="55"/>
        <v>0</v>
      </c>
    </row>
    <row r="214" spans="1:31" ht="31.5" hidden="1">
      <c r="A214" s="27"/>
      <c r="B214" s="179" t="s">
        <v>126</v>
      </c>
      <c r="C214" s="89" t="s">
        <v>163</v>
      </c>
      <c r="D214" s="89" t="s">
        <v>14</v>
      </c>
      <c r="E214" s="88" t="s">
        <v>337</v>
      </c>
      <c r="F214" s="89" t="s">
        <v>325</v>
      </c>
      <c r="G214" s="40">
        <v>6.6</v>
      </c>
      <c r="H214" s="41">
        <v>-6.6</v>
      </c>
      <c r="I214" s="42">
        <f t="shared" si="59"/>
        <v>0</v>
      </c>
      <c r="J214" s="41">
        <v>0</v>
      </c>
      <c r="K214" s="43">
        <f t="shared" si="60"/>
        <v>0</v>
      </c>
      <c r="L214" s="44">
        <v>0</v>
      </c>
      <c r="M214" s="49">
        <f t="shared" si="61"/>
        <v>0</v>
      </c>
      <c r="N214" s="6"/>
      <c r="O214" s="6"/>
      <c r="P214" s="6"/>
      <c r="T214" s="36"/>
      <c r="U214" s="40">
        <f>S214+T214</f>
        <v>0</v>
      </c>
      <c r="AC214" s="31"/>
      <c r="AD214" s="16">
        <f t="shared" si="44"/>
        <v>0</v>
      </c>
      <c r="AE214" s="16">
        <f t="shared" si="55"/>
        <v>0</v>
      </c>
    </row>
    <row r="215" spans="1:31" ht="163.5" customHeight="1">
      <c r="A215" s="27"/>
      <c r="B215" s="119" t="s">
        <v>338</v>
      </c>
      <c r="C215" s="89" t="s">
        <v>163</v>
      </c>
      <c r="D215" s="89" t="s">
        <v>14</v>
      </c>
      <c r="E215" s="88" t="s">
        <v>339</v>
      </c>
      <c r="F215" s="89" t="s">
        <v>325</v>
      </c>
      <c r="G215" s="40">
        <v>0</v>
      </c>
      <c r="H215" s="41">
        <f>131.6+0</f>
        <v>131.6</v>
      </c>
      <c r="I215" s="42">
        <f t="shared" si="59"/>
        <v>131.6</v>
      </c>
      <c r="J215" s="41">
        <v>0</v>
      </c>
      <c r="K215" s="48">
        <f t="shared" si="60"/>
        <v>131.6</v>
      </c>
      <c r="L215" s="44">
        <v>0</v>
      </c>
      <c r="M215" s="49">
        <f t="shared" si="61"/>
        <v>131.6</v>
      </c>
      <c r="N215" s="6"/>
      <c r="O215" s="6"/>
      <c r="P215" s="6"/>
      <c r="T215" s="36"/>
      <c r="U215" s="40">
        <f>M215</f>
        <v>131.6</v>
      </c>
      <c r="AC215" s="31"/>
      <c r="AD215" s="23">
        <f t="shared" si="44"/>
        <v>131.6</v>
      </c>
      <c r="AE215" s="26">
        <f t="shared" si="55"/>
        <v>131.6</v>
      </c>
    </row>
    <row r="216" spans="1:31" ht="38.25" customHeight="1">
      <c r="A216" s="27"/>
      <c r="B216" s="179" t="s">
        <v>126</v>
      </c>
      <c r="C216" s="89" t="s">
        <v>163</v>
      </c>
      <c r="D216" s="89" t="s">
        <v>14</v>
      </c>
      <c r="E216" s="88" t="s">
        <v>339</v>
      </c>
      <c r="F216" s="89" t="s">
        <v>325</v>
      </c>
      <c r="G216" s="40">
        <v>0</v>
      </c>
      <c r="H216" s="41">
        <v>6.6</v>
      </c>
      <c r="I216" s="42">
        <f t="shared" si="59"/>
        <v>6.6</v>
      </c>
      <c r="J216" s="41">
        <v>0</v>
      </c>
      <c r="K216" s="48">
        <f t="shared" si="60"/>
        <v>6.6</v>
      </c>
      <c r="L216" s="44">
        <v>0</v>
      </c>
      <c r="M216" s="49">
        <f t="shared" si="61"/>
        <v>6.6</v>
      </c>
      <c r="N216" s="6"/>
      <c r="O216" s="6"/>
      <c r="P216" s="6"/>
      <c r="T216" s="36"/>
      <c r="U216" s="40">
        <f>M216</f>
        <v>6.6</v>
      </c>
      <c r="AC216" s="31"/>
      <c r="AD216" s="23">
        <f t="shared" si="44"/>
        <v>6.6</v>
      </c>
      <c r="AE216" s="26">
        <f t="shared" si="55"/>
        <v>6.6</v>
      </c>
    </row>
    <row r="217" spans="1:31" ht="103.5" customHeight="1">
      <c r="A217" s="27"/>
      <c r="B217" s="180" t="s">
        <v>340</v>
      </c>
      <c r="C217" s="89" t="s">
        <v>163</v>
      </c>
      <c r="D217" s="89" t="s">
        <v>14</v>
      </c>
      <c r="E217" s="88" t="s">
        <v>341</v>
      </c>
      <c r="F217" s="89" t="s">
        <v>325</v>
      </c>
      <c r="G217" s="40">
        <v>0</v>
      </c>
      <c r="H217" s="41">
        <f>65.5+15.364</f>
        <v>80.864</v>
      </c>
      <c r="I217" s="42">
        <f t="shared" si="59"/>
        <v>80.864</v>
      </c>
      <c r="J217" s="41">
        <v>0</v>
      </c>
      <c r="K217" s="43">
        <f t="shared" si="60"/>
        <v>80.864</v>
      </c>
      <c r="L217" s="44">
        <v>0</v>
      </c>
      <c r="M217" s="45">
        <f t="shared" si="61"/>
        <v>80.864</v>
      </c>
      <c r="N217" s="6"/>
      <c r="O217" s="6"/>
      <c r="P217" s="6"/>
      <c r="T217" s="36"/>
      <c r="U217" s="46">
        <f>M217</f>
        <v>80.864</v>
      </c>
      <c r="AC217" s="31"/>
      <c r="AD217" s="32">
        <f t="shared" si="44"/>
        <v>80.864</v>
      </c>
      <c r="AE217" s="26">
        <f t="shared" si="55"/>
        <v>80.864</v>
      </c>
    </row>
    <row r="218" spans="1:31" ht="31.5">
      <c r="A218" s="27"/>
      <c r="B218" s="179" t="s">
        <v>126</v>
      </c>
      <c r="C218" s="89" t="s">
        <v>163</v>
      </c>
      <c r="D218" s="89" t="s">
        <v>14</v>
      </c>
      <c r="E218" s="88" t="s">
        <v>341</v>
      </c>
      <c r="F218" s="89" t="s">
        <v>325</v>
      </c>
      <c r="G218" s="40">
        <v>0</v>
      </c>
      <c r="H218" s="41">
        <v>15.364</v>
      </c>
      <c r="I218" s="42">
        <f t="shared" si="59"/>
        <v>15.364</v>
      </c>
      <c r="J218" s="41">
        <v>0</v>
      </c>
      <c r="K218" s="43">
        <f t="shared" si="60"/>
        <v>15.364</v>
      </c>
      <c r="L218" s="44">
        <v>0</v>
      </c>
      <c r="M218" s="45">
        <f t="shared" si="61"/>
        <v>15.364</v>
      </c>
      <c r="N218" s="6"/>
      <c r="O218" s="6"/>
      <c r="P218" s="6"/>
      <c r="T218" s="36"/>
      <c r="U218" s="46">
        <f>M218</f>
        <v>15.364</v>
      </c>
      <c r="AC218" s="31"/>
      <c r="AD218" s="32">
        <f t="shared" si="44"/>
        <v>15.364</v>
      </c>
      <c r="AE218" s="26">
        <f t="shared" si="55"/>
        <v>15.364</v>
      </c>
    </row>
    <row r="219" spans="1:31" ht="113.25" customHeight="1">
      <c r="A219" s="27"/>
      <c r="B219" s="79" t="s">
        <v>342</v>
      </c>
      <c r="C219" s="69" t="s">
        <v>163</v>
      </c>
      <c r="D219" s="69" t="s">
        <v>14</v>
      </c>
      <c r="E219" s="70" t="s">
        <v>343</v>
      </c>
      <c r="F219" s="55"/>
      <c r="G219" s="23">
        <f>G220</f>
        <v>11093.9</v>
      </c>
      <c r="H219" s="16"/>
      <c r="I219" s="17">
        <f aca="true" t="shared" si="62" ref="I219:M220">I220</f>
        <v>11093.9</v>
      </c>
      <c r="J219" s="16">
        <f t="shared" si="62"/>
        <v>-0.9</v>
      </c>
      <c r="K219" s="29">
        <f t="shared" si="62"/>
        <v>11093</v>
      </c>
      <c r="L219" s="18">
        <f t="shared" si="62"/>
        <v>0</v>
      </c>
      <c r="M219" s="30">
        <f t="shared" si="62"/>
        <v>11093</v>
      </c>
      <c r="N219" s="6"/>
      <c r="O219" s="6"/>
      <c r="P219" s="6"/>
      <c r="T219" s="36"/>
      <c r="U219" s="23">
        <f>U220</f>
        <v>11093</v>
      </c>
      <c r="AC219" s="31"/>
      <c r="AD219" s="23">
        <f t="shared" si="44"/>
        <v>11093</v>
      </c>
      <c r="AE219" s="26">
        <f t="shared" si="55"/>
        <v>11093</v>
      </c>
    </row>
    <row r="220" spans="1:31" ht="68.25" customHeight="1">
      <c r="A220" s="27"/>
      <c r="B220" s="59" t="s">
        <v>344</v>
      </c>
      <c r="C220" s="55" t="s">
        <v>163</v>
      </c>
      <c r="D220" s="55" t="s">
        <v>14</v>
      </c>
      <c r="E220" s="56" t="s">
        <v>345</v>
      </c>
      <c r="F220" s="55"/>
      <c r="G220" s="40">
        <f>G221</f>
        <v>11093.9</v>
      </c>
      <c r="H220" s="41"/>
      <c r="I220" s="42">
        <f t="shared" si="62"/>
        <v>11093.9</v>
      </c>
      <c r="J220" s="41">
        <f t="shared" si="62"/>
        <v>-0.9</v>
      </c>
      <c r="K220" s="48">
        <f t="shared" si="62"/>
        <v>11093</v>
      </c>
      <c r="L220" s="44">
        <f t="shared" si="62"/>
        <v>0</v>
      </c>
      <c r="M220" s="49">
        <f t="shared" si="62"/>
        <v>11093</v>
      </c>
      <c r="N220" s="6"/>
      <c r="O220" s="6"/>
      <c r="P220" s="6"/>
      <c r="T220" s="36"/>
      <c r="U220" s="40">
        <f>U221</f>
        <v>11093</v>
      </c>
      <c r="AC220" s="31"/>
      <c r="AD220" s="23">
        <f t="shared" si="44"/>
        <v>11093</v>
      </c>
      <c r="AE220" s="26">
        <f t="shared" si="55"/>
        <v>11093</v>
      </c>
    </row>
    <row r="221" spans="1:31" ht="132" customHeight="1">
      <c r="A221" s="27"/>
      <c r="B221" s="52" t="s">
        <v>346</v>
      </c>
      <c r="C221" s="55" t="s">
        <v>163</v>
      </c>
      <c r="D221" s="55" t="s">
        <v>14</v>
      </c>
      <c r="E221" s="88" t="s">
        <v>347</v>
      </c>
      <c r="F221" s="55" t="s">
        <v>325</v>
      </c>
      <c r="G221" s="40">
        <f>11093+0.9</f>
        <v>11093.9</v>
      </c>
      <c r="H221" s="41"/>
      <c r="I221" s="42">
        <f>11093+0.9</f>
        <v>11093.9</v>
      </c>
      <c r="J221" s="41">
        <f>0-0.9</f>
        <v>-0.9</v>
      </c>
      <c r="K221" s="48">
        <f>11093+0.9-0.9</f>
        <v>11093</v>
      </c>
      <c r="L221" s="44">
        <v>0</v>
      </c>
      <c r="M221" s="49">
        <f>11093+0.9-0.9</f>
        <v>11093</v>
      </c>
      <c r="N221" s="6"/>
      <c r="O221" s="6"/>
      <c r="P221" s="6"/>
      <c r="T221" s="36"/>
      <c r="U221" s="40">
        <f>11093+0.9-0.9</f>
        <v>11093</v>
      </c>
      <c r="AC221" s="31"/>
      <c r="AD221" s="23">
        <f t="shared" si="44"/>
        <v>11093</v>
      </c>
      <c r="AE221" s="26">
        <f t="shared" si="55"/>
        <v>11093</v>
      </c>
    </row>
    <row r="222" spans="1:31" ht="27.75" customHeight="1">
      <c r="A222" s="27"/>
      <c r="B222" s="181" t="s">
        <v>126</v>
      </c>
      <c r="C222" s="104" t="s">
        <v>163</v>
      </c>
      <c r="D222" s="72" t="s">
        <v>14</v>
      </c>
      <c r="E222" s="182" t="s">
        <v>347</v>
      </c>
      <c r="F222" s="55" t="s">
        <v>325</v>
      </c>
      <c r="G222" s="40">
        <f>2107.7+0.9</f>
        <v>2108.6</v>
      </c>
      <c r="H222" s="41"/>
      <c r="I222" s="42">
        <f>2107.7+0.9</f>
        <v>2108.6</v>
      </c>
      <c r="J222" s="41">
        <v>-0.9</v>
      </c>
      <c r="K222" s="48">
        <f>2107.7+0.9-0.9</f>
        <v>2107.7</v>
      </c>
      <c r="L222" s="44">
        <v>0</v>
      </c>
      <c r="M222" s="49">
        <f>2107.7+0.9-0.9</f>
        <v>2107.7</v>
      </c>
      <c r="N222" s="6"/>
      <c r="O222" s="6"/>
      <c r="P222" s="6"/>
      <c r="T222" s="36"/>
      <c r="U222" s="40">
        <f>2107.7+0.9-0.9</f>
        <v>2107.7</v>
      </c>
      <c r="AC222" s="31"/>
      <c r="AD222" s="23">
        <f t="shared" si="44"/>
        <v>2107.7</v>
      </c>
      <c r="AE222" s="26">
        <f t="shared" si="55"/>
        <v>2107.7</v>
      </c>
    </row>
    <row r="223" spans="1:31" ht="102" customHeight="1">
      <c r="A223" s="27"/>
      <c r="B223" s="117" t="s">
        <v>348</v>
      </c>
      <c r="C223" s="69" t="s">
        <v>163</v>
      </c>
      <c r="D223" s="69" t="s">
        <v>14</v>
      </c>
      <c r="E223" s="114" t="s">
        <v>349</v>
      </c>
      <c r="F223" s="69"/>
      <c r="G223" s="32">
        <f>G224</f>
        <v>61</v>
      </c>
      <c r="H223" s="16"/>
      <c r="I223" s="17">
        <f>I224</f>
        <v>61</v>
      </c>
      <c r="J223" s="16"/>
      <c r="K223" s="29">
        <f>K224</f>
        <v>61</v>
      </c>
      <c r="L223" s="18"/>
      <c r="M223" s="30">
        <f>M224</f>
        <v>61</v>
      </c>
      <c r="N223" s="6"/>
      <c r="O223" s="6"/>
      <c r="P223" s="6"/>
      <c r="T223" s="36"/>
      <c r="U223" s="23">
        <f>U224</f>
        <v>61</v>
      </c>
      <c r="AC223" s="31"/>
      <c r="AD223" s="23">
        <f t="shared" si="44"/>
        <v>61</v>
      </c>
      <c r="AE223" s="26">
        <f t="shared" si="55"/>
        <v>61</v>
      </c>
    </row>
    <row r="224" spans="1:31" ht="66" customHeight="1">
      <c r="A224" s="27"/>
      <c r="B224" s="52" t="s">
        <v>350</v>
      </c>
      <c r="C224" s="55" t="s">
        <v>163</v>
      </c>
      <c r="D224" s="55" t="s">
        <v>14</v>
      </c>
      <c r="E224" s="88" t="s">
        <v>351</v>
      </c>
      <c r="F224" s="55"/>
      <c r="G224" s="46">
        <f>G225</f>
        <v>61</v>
      </c>
      <c r="H224" s="41"/>
      <c r="I224" s="42">
        <f>I225</f>
        <v>61</v>
      </c>
      <c r="J224" s="41"/>
      <c r="K224" s="48">
        <f>K225</f>
        <v>61</v>
      </c>
      <c r="L224" s="44"/>
      <c r="M224" s="49">
        <f>M225</f>
        <v>61</v>
      </c>
      <c r="N224" s="6"/>
      <c r="O224" s="6"/>
      <c r="P224" s="6"/>
      <c r="T224" s="36"/>
      <c r="U224" s="40">
        <f>U225</f>
        <v>61</v>
      </c>
      <c r="AC224" s="31"/>
      <c r="AD224" s="23">
        <f t="shared" si="44"/>
        <v>61</v>
      </c>
      <c r="AE224" s="26">
        <f t="shared" si="55"/>
        <v>61</v>
      </c>
    </row>
    <row r="225" spans="1:31" ht="134.25" customHeight="1">
      <c r="A225" s="27"/>
      <c r="B225" s="52" t="s">
        <v>352</v>
      </c>
      <c r="C225" s="55" t="s">
        <v>163</v>
      </c>
      <c r="D225" s="55" t="s">
        <v>14</v>
      </c>
      <c r="E225" s="88" t="s">
        <v>353</v>
      </c>
      <c r="F225" s="55" t="s">
        <v>325</v>
      </c>
      <c r="G225" s="46">
        <v>61</v>
      </c>
      <c r="H225" s="41"/>
      <c r="I225" s="42">
        <v>61</v>
      </c>
      <c r="J225" s="41"/>
      <c r="K225" s="48">
        <v>61</v>
      </c>
      <c r="L225" s="44"/>
      <c r="M225" s="49">
        <v>61</v>
      </c>
      <c r="N225" s="6"/>
      <c r="O225" s="6"/>
      <c r="P225" s="6"/>
      <c r="T225" s="36"/>
      <c r="U225" s="40">
        <v>61</v>
      </c>
      <c r="AC225" s="31"/>
      <c r="AD225" s="23">
        <f t="shared" si="44"/>
        <v>61</v>
      </c>
      <c r="AE225" s="26">
        <f t="shared" si="55"/>
        <v>61</v>
      </c>
    </row>
    <row r="226" spans="1:31" ht="15" customHeight="1">
      <c r="A226" s="27"/>
      <c r="B226" s="20" t="s">
        <v>354</v>
      </c>
      <c r="C226" s="69" t="s">
        <v>93</v>
      </c>
      <c r="D226" s="69"/>
      <c r="E226" s="56"/>
      <c r="F226" s="55"/>
      <c r="G226" s="32" t="e">
        <f aca="true" t="shared" si="63" ref="G226:M226">G227+G231+G237</f>
        <v>#REF!</v>
      </c>
      <c r="H226" s="16">
        <f t="shared" si="63"/>
        <v>85.6</v>
      </c>
      <c r="I226" s="17" t="e">
        <f t="shared" si="63"/>
        <v>#REF!</v>
      </c>
      <c r="J226" s="16">
        <f t="shared" si="63"/>
        <v>-197.84526</v>
      </c>
      <c r="K226" s="18" t="e">
        <f t="shared" si="63"/>
        <v>#REF!</v>
      </c>
      <c r="L226" s="18">
        <f t="shared" si="63"/>
        <v>65.67795</v>
      </c>
      <c r="M226" s="24">
        <f t="shared" si="63"/>
        <v>1969.1326900000001</v>
      </c>
      <c r="N226" s="6"/>
      <c r="O226" s="6"/>
      <c r="P226" s="6"/>
      <c r="T226" s="36"/>
      <c r="U226" s="16">
        <f>U227+U231+U237</f>
        <v>1969.1326900000001</v>
      </c>
      <c r="AC226" s="31"/>
      <c r="AD226" s="16">
        <f t="shared" si="44"/>
        <v>1969.1326900000001</v>
      </c>
      <c r="AE226" s="26">
        <f>AE227+AE231+AE237</f>
        <v>1968.51163</v>
      </c>
    </row>
    <row r="227" spans="1:31" ht="20.25" customHeight="1">
      <c r="A227" s="27"/>
      <c r="B227" s="20" t="s">
        <v>355</v>
      </c>
      <c r="C227" s="69" t="s">
        <v>93</v>
      </c>
      <c r="D227" s="69" t="s">
        <v>14</v>
      </c>
      <c r="E227" s="70"/>
      <c r="F227" s="69"/>
      <c r="G227" s="16">
        <f aca="true" t="shared" si="64" ref="G227:M227">G229</f>
        <v>686.8736799999999</v>
      </c>
      <c r="H227" s="16">
        <f t="shared" si="64"/>
        <v>40</v>
      </c>
      <c r="I227" s="17">
        <f t="shared" si="64"/>
        <v>726.8736799999999</v>
      </c>
      <c r="J227" s="16">
        <f t="shared" si="64"/>
        <v>0</v>
      </c>
      <c r="K227" s="18">
        <f t="shared" si="64"/>
        <v>726.8736799999999</v>
      </c>
      <c r="L227" s="18">
        <f t="shared" si="64"/>
        <v>65.7665</v>
      </c>
      <c r="M227" s="24">
        <f t="shared" si="64"/>
        <v>792.6401799999999</v>
      </c>
      <c r="N227" s="6"/>
      <c r="O227" s="6"/>
      <c r="P227" s="6"/>
      <c r="T227" s="36"/>
      <c r="U227" s="16">
        <f>U229</f>
        <v>792.6401799999999</v>
      </c>
      <c r="AC227" s="31"/>
      <c r="AD227" s="16">
        <f t="shared" si="44"/>
        <v>792.6401799999999</v>
      </c>
      <c r="AE227" s="26">
        <f>V227+AD227</f>
        <v>792.6401799999999</v>
      </c>
    </row>
    <row r="228" spans="1:31" ht="67.5" customHeight="1">
      <c r="A228" s="27"/>
      <c r="B228" s="20" t="s">
        <v>51</v>
      </c>
      <c r="C228" s="69" t="s">
        <v>93</v>
      </c>
      <c r="D228" s="69" t="s">
        <v>14</v>
      </c>
      <c r="E228" s="70" t="s">
        <v>14</v>
      </c>
      <c r="F228" s="55"/>
      <c r="G228" s="16">
        <f aca="true" t="shared" si="65" ref="G228:M229">G229</f>
        <v>686.8736799999999</v>
      </c>
      <c r="H228" s="16">
        <f t="shared" si="65"/>
        <v>40</v>
      </c>
      <c r="I228" s="17">
        <f t="shared" si="65"/>
        <v>726.8736799999999</v>
      </c>
      <c r="J228" s="16">
        <f t="shared" si="65"/>
        <v>0</v>
      </c>
      <c r="K228" s="18">
        <f t="shared" si="65"/>
        <v>726.8736799999999</v>
      </c>
      <c r="L228" s="18">
        <f t="shared" si="65"/>
        <v>65.7665</v>
      </c>
      <c r="M228" s="24">
        <f t="shared" si="65"/>
        <v>792.6401799999999</v>
      </c>
      <c r="N228" s="6"/>
      <c r="O228" s="6"/>
      <c r="P228" s="6"/>
      <c r="T228" s="36"/>
      <c r="U228" s="16">
        <f>U229</f>
        <v>792.6401799999999</v>
      </c>
      <c r="AC228" s="31"/>
      <c r="AD228" s="16">
        <f t="shared" si="44"/>
        <v>792.6401799999999</v>
      </c>
      <c r="AE228" s="26">
        <f>V228+AD228</f>
        <v>792.6401799999999</v>
      </c>
    </row>
    <row r="229" spans="1:31" ht="36" customHeight="1">
      <c r="A229" s="27"/>
      <c r="B229" s="59" t="s">
        <v>356</v>
      </c>
      <c r="C229" s="55" t="s">
        <v>93</v>
      </c>
      <c r="D229" s="55" t="s">
        <v>14</v>
      </c>
      <c r="E229" s="56" t="s">
        <v>357</v>
      </c>
      <c r="F229" s="55"/>
      <c r="G229" s="41">
        <f t="shared" si="65"/>
        <v>686.8736799999999</v>
      </c>
      <c r="H229" s="41">
        <f t="shared" si="65"/>
        <v>40</v>
      </c>
      <c r="I229" s="42">
        <f t="shared" si="65"/>
        <v>726.8736799999999</v>
      </c>
      <c r="J229" s="41">
        <f t="shared" si="65"/>
        <v>0</v>
      </c>
      <c r="K229" s="44">
        <f t="shared" si="65"/>
        <v>726.8736799999999</v>
      </c>
      <c r="L229" s="44">
        <f t="shared" si="65"/>
        <v>65.7665</v>
      </c>
      <c r="M229" s="95">
        <f t="shared" si="65"/>
        <v>792.6401799999999</v>
      </c>
      <c r="N229" s="6"/>
      <c r="O229" s="6"/>
      <c r="P229" s="6"/>
      <c r="T229" s="36"/>
      <c r="U229" s="41">
        <f>U230</f>
        <v>792.6401799999999</v>
      </c>
      <c r="AC229" s="31"/>
      <c r="AD229" s="16">
        <f t="shared" si="44"/>
        <v>792.6401799999999</v>
      </c>
      <c r="AE229" s="26">
        <f>V229+AD229</f>
        <v>792.6401799999999</v>
      </c>
    </row>
    <row r="230" spans="1:31" ht="50.25" customHeight="1">
      <c r="A230" s="27"/>
      <c r="B230" s="59" t="s">
        <v>358</v>
      </c>
      <c r="C230" s="55" t="s">
        <v>93</v>
      </c>
      <c r="D230" s="55" t="s">
        <v>14</v>
      </c>
      <c r="E230" s="56" t="s">
        <v>359</v>
      </c>
      <c r="F230" s="55" t="s">
        <v>360</v>
      </c>
      <c r="G230" s="41">
        <f>657.1+0.3+30.07368-0.6</f>
        <v>686.8736799999999</v>
      </c>
      <c r="H230" s="41">
        <v>40</v>
      </c>
      <c r="I230" s="42">
        <f>657.1+0.3+30.07368-0.6+40</f>
        <v>726.8736799999999</v>
      </c>
      <c r="J230" s="41">
        <v>0</v>
      </c>
      <c r="K230" s="44">
        <f>657.1+0.3+30.07368-0.6+40</f>
        <v>726.8736799999999</v>
      </c>
      <c r="L230" s="44">
        <v>65.7665</v>
      </c>
      <c r="M230" s="95">
        <f>657.1+0.3+30.07368-0.6+40+65.7665</f>
        <v>792.6401799999999</v>
      </c>
      <c r="N230" s="6"/>
      <c r="O230" s="6"/>
      <c r="P230" s="6"/>
      <c r="T230" s="36"/>
      <c r="U230" s="41">
        <f>657.1+0.3+30.07368-0.6+40+65.7665</f>
        <v>792.6401799999999</v>
      </c>
      <c r="AC230" s="31"/>
      <c r="AD230" s="16">
        <f t="shared" si="44"/>
        <v>792.6401799999999</v>
      </c>
      <c r="AE230" s="26">
        <f>V230+AD230</f>
        <v>792.6401799999999</v>
      </c>
    </row>
    <row r="231" spans="1:31" ht="22.5" customHeight="1">
      <c r="A231" s="27"/>
      <c r="B231" s="20" t="s">
        <v>361</v>
      </c>
      <c r="C231" s="69" t="s">
        <v>93</v>
      </c>
      <c r="D231" s="69" t="s">
        <v>25</v>
      </c>
      <c r="E231" s="70"/>
      <c r="F231" s="69"/>
      <c r="G231" s="16" t="e">
        <f>G233</f>
        <v>#REF!</v>
      </c>
      <c r="H231" s="16"/>
      <c r="I231" s="17" t="e">
        <f>I233</f>
        <v>#REF!</v>
      </c>
      <c r="J231" s="16">
        <f>J232</f>
        <v>-197.84526</v>
      </c>
      <c r="K231" s="18" t="e">
        <f>K233</f>
        <v>#REF!</v>
      </c>
      <c r="L231" s="18">
        <f>L232</f>
        <v>0</v>
      </c>
      <c r="M231" s="24">
        <f>M233</f>
        <v>556.2810600000001</v>
      </c>
      <c r="N231" s="6"/>
      <c r="O231" s="6"/>
      <c r="P231" s="6"/>
      <c r="T231" s="36"/>
      <c r="U231" s="16">
        <f>U233</f>
        <v>556.2810600000001</v>
      </c>
      <c r="AC231" s="31"/>
      <c r="AD231" s="16">
        <f t="shared" si="44"/>
        <v>556.2810600000001</v>
      </c>
      <c r="AE231" s="26">
        <f>AE232</f>
        <v>555.6600000000001</v>
      </c>
    </row>
    <row r="232" spans="1:31" ht="18.75" customHeight="1">
      <c r="A232" s="27"/>
      <c r="B232" s="52" t="s">
        <v>31</v>
      </c>
      <c r="C232" s="55" t="s">
        <v>93</v>
      </c>
      <c r="D232" s="55" t="s">
        <v>25</v>
      </c>
      <c r="E232" s="56" t="s">
        <v>18</v>
      </c>
      <c r="F232" s="55"/>
      <c r="G232" s="16" t="e">
        <f>G233</f>
        <v>#REF!</v>
      </c>
      <c r="H232" s="16"/>
      <c r="I232" s="17" t="e">
        <f>I233</f>
        <v>#REF!</v>
      </c>
      <c r="J232" s="16">
        <f>J233</f>
        <v>-197.84526</v>
      </c>
      <c r="K232" s="18" t="e">
        <f>K233</f>
        <v>#REF!</v>
      </c>
      <c r="L232" s="18">
        <f>L233</f>
        <v>0</v>
      </c>
      <c r="M232" s="24">
        <f>M233</f>
        <v>556.2810600000001</v>
      </c>
      <c r="N232" s="6"/>
      <c r="O232" s="6"/>
      <c r="P232" s="6"/>
      <c r="T232" s="36"/>
      <c r="U232" s="16">
        <f>U233</f>
        <v>556.2810600000001</v>
      </c>
      <c r="AC232" s="31"/>
      <c r="AD232" s="16">
        <f t="shared" si="44"/>
        <v>556.2810600000001</v>
      </c>
      <c r="AE232" s="26">
        <f>AE233</f>
        <v>555.6600000000001</v>
      </c>
    </row>
    <row r="233" spans="1:31" ht="21.75" customHeight="1">
      <c r="A233" s="27"/>
      <c r="B233" s="52" t="s">
        <v>19</v>
      </c>
      <c r="C233" s="55" t="s">
        <v>93</v>
      </c>
      <c r="D233" s="55" t="s">
        <v>25</v>
      </c>
      <c r="E233" s="56" t="s">
        <v>33</v>
      </c>
      <c r="F233" s="55"/>
      <c r="G233" s="41" t="e">
        <f>G234+G235+#REF!</f>
        <v>#REF!</v>
      </c>
      <c r="H233" s="41"/>
      <c r="I233" s="42" t="e">
        <f>I234+I235+#REF!</f>
        <v>#REF!</v>
      </c>
      <c r="J233" s="41">
        <f>J234+J235</f>
        <v>-197.84526</v>
      </c>
      <c r="K233" s="44" t="e">
        <f>K234+K235+#REF!</f>
        <v>#REF!</v>
      </c>
      <c r="L233" s="44">
        <f>L234+L235</f>
        <v>0</v>
      </c>
      <c r="M233" s="95">
        <f>M234+M235</f>
        <v>556.2810600000001</v>
      </c>
      <c r="N233" s="6"/>
      <c r="O233" s="6"/>
      <c r="P233" s="6"/>
      <c r="T233" s="36"/>
      <c r="U233" s="41">
        <f>U234+U235</f>
        <v>556.2810600000001</v>
      </c>
      <c r="AC233" s="31"/>
      <c r="AD233" s="16">
        <f t="shared" si="44"/>
        <v>556.2810600000001</v>
      </c>
      <c r="AE233" s="26">
        <f>AE234</f>
        <v>555.6600000000001</v>
      </c>
    </row>
    <row r="234" spans="1:31" ht="52.5" customHeight="1">
      <c r="A234" s="27"/>
      <c r="B234" s="37" t="s">
        <v>362</v>
      </c>
      <c r="C234" s="55" t="s">
        <v>93</v>
      </c>
      <c r="D234" s="55" t="s">
        <v>25</v>
      </c>
      <c r="E234" s="56" t="s">
        <v>363</v>
      </c>
      <c r="F234" s="55" t="s">
        <v>103</v>
      </c>
      <c r="G234" s="40">
        <f>754.2-0.6</f>
        <v>753.6</v>
      </c>
      <c r="H234" s="41"/>
      <c r="I234" s="42">
        <f>754.2-0.6</f>
        <v>753.6</v>
      </c>
      <c r="J234" s="41">
        <f>-197.94</f>
        <v>-197.94</v>
      </c>
      <c r="K234" s="48">
        <f>754.2-0.6-197.94</f>
        <v>555.6600000000001</v>
      </c>
      <c r="L234" s="44">
        <v>0</v>
      </c>
      <c r="M234" s="49">
        <f>754.2-0.6-197.94</f>
        <v>555.6600000000001</v>
      </c>
      <c r="N234" s="6"/>
      <c r="O234" s="6"/>
      <c r="P234" s="6"/>
      <c r="T234" s="36"/>
      <c r="U234" s="40">
        <f>754.2-0.6-197.94</f>
        <v>555.6600000000001</v>
      </c>
      <c r="AC234" s="31"/>
      <c r="AD234" s="23">
        <f t="shared" si="44"/>
        <v>555.6600000000001</v>
      </c>
      <c r="AE234" s="26">
        <f>V234+AD234</f>
        <v>555.6600000000001</v>
      </c>
    </row>
    <row r="235" spans="1:31" ht="117" customHeight="1" hidden="1">
      <c r="A235" s="27"/>
      <c r="B235" s="37" t="s">
        <v>364</v>
      </c>
      <c r="C235" s="55" t="s">
        <v>93</v>
      </c>
      <c r="D235" s="55" t="s">
        <v>25</v>
      </c>
      <c r="E235" s="56" t="s">
        <v>365</v>
      </c>
      <c r="F235" s="55" t="s">
        <v>360</v>
      </c>
      <c r="G235" s="41">
        <f>0.5+0.02632</f>
        <v>0.52632</v>
      </c>
      <c r="H235" s="41"/>
      <c r="I235" s="42">
        <f>0.5+0.02632</f>
        <v>0.52632</v>
      </c>
      <c r="J235" s="41">
        <f>94.74/1000</f>
        <v>0.09473999999999999</v>
      </c>
      <c r="K235" s="44">
        <f>0.5+0.02632+0.09474</f>
        <v>0.6210600000000001</v>
      </c>
      <c r="L235" s="44">
        <v>0</v>
      </c>
      <c r="M235" s="95">
        <f>0.5+0.02632+0.09474</f>
        <v>0.6210600000000001</v>
      </c>
      <c r="N235" s="6"/>
      <c r="O235" s="6"/>
      <c r="P235" s="6"/>
      <c r="T235" s="36"/>
      <c r="U235" s="41">
        <f>0.5+0.02632+0.09474</f>
        <v>0.6210600000000001</v>
      </c>
      <c r="AC235" s="31"/>
      <c r="AD235" s="16">
        <f t="shared" si="44"/>
        <v>0.6210600000000001</v>
      </c>
      <c r="AE235" s="16">
        <v>0</v>
      </c>
    </row>
    <row r="236" spans="1:31" ht="33" customHeight="1" hidden="1">
      <c r="A236" s="27"/>
      <c r="B236" s="183" t="s">
        <v>126</v>
      </c>
      <c r="C236" s="55" t="s">
        <v>93</v>
      </c>
      <c r="D236" s="55" t="s">
        <v>25</v>
      </c>
      <c r="E236" s="56" t="s">
        <v>365</v>
      </c>
      <c r="F236" s="55" t="s">
        <v>360</v>
      </c>
      <c r="G236" s="41">
        <v>0.02632</v>
      </c>
      <c r="H236" s="41"/>
      <c r="I236" s="42">
        <v>0.02632</v>
      </c>
      <c r="J236" s="41">
        <f>4.74/1000</f>
        <v>0.00474</v>
      </c>
      <c r="K236" s="44">
        <f>0.02632+0.00474</f>
        <v>0.03106</v>
      </c>
      <c r="L236" s="44">
        <v>0</v>
      </c>
      <c r="M236" s="95">
        <f>0.02632+0.00474</f>
        <v>0.03106</v>
      </c>
      <c r="N236" s="6"/>
      <c r="O236" s="6"/>
      <c r="P236" s="6"/>
      <c r="T236" s="36"/>
      <c r="U236" s="41">
        <f>0.02632+0.00474</f>
        <v>0.03106</v>
      </c>
      <c r="AC236" s="31"/>
      <c r="AD236" s="16">
        <f t="shared" si="44"/>
        <v>0.03106</v>
      </c>
      <c r="AE236" s="16">
        <v>0</v>
      </c>
    </row>
    <row r="237" spans="1:31" ht="21.75" customHeight="1">
      <c r="A237" s="27"/>
      <c r="B237" s="184" t="s">
        <v>366</v>
      </c>
      <c r="C237" s="175" t="s">
        <v>93</v>
      </c>
      <c r="D237" s="69" t="s">
        <v>30</v>
      </c>
      <c r="E237" s="70"/>
      <c r="F237" s="69"/>
      <c r="G237" s="23">
        <f aca="true" t="shared" si="66" ref="G237:M239">G238</f>
        <v>574.7</v>
      </c>
      <c r="H237" s="16">
        <f t="shared" si="66"/>
        <v>45.6</v>
      </c>
      <c r="I237" s="17">
        <f t="shared" si="66"/>
        <v>620.3000000000001</v>
      </c>
      <c r="J237" s="16">
        <f t="shared" si="66"/>
        <v>0</v>
      </c>
      <c r="K237" s="29">
        <f t="shared" si="66"/>
        <v>620.3000000000001</v>
      </c>
      <c r="L237" s="18">
        <f t="shared" si="66"/>
        <v>-0.08855</v>
      </c>
      <c r="M237" s="24">
        <f t="shared" si="66"/>
        <v>620.21145</v>
      </c>
      <c r="N237" s="6"/>
      <c r="O237" s="6"/>
      <c r="P237" s="6"/>
      <c r="T237" s="36"/>
      <c r="U237" s="16">
        <f>U238</f>
        <v>620.21145</v>
      </c>
      <c r="AC237" s="31"/>
      <c r="AD237" s="16">
        <f t="shared" si="44"/>
        <v>620.21145</v>
      </c>
      <c r="AE237" s="26">
        <f>V237+AD237</f>
        <v>620.21145</v>
      </c>
    </row>
    <row r="238" spans="1:31" ht="69.75" customHeight="1">
      <c r="A238" s="27"/>
      <c r="B238" s="51" t="s">
        <v>367</v>
      </c>
      <c r="C238" s="175" t="s">
        <v>93</v>
      </c>
      <c r="D238" s="69" t="s">
        <v>30</v>
      </c>
      <c r="E238" s="70" t="s">
        <v>368</v>
      </c>
      <c r="F238" s="55"/>
      <c r="G238" s="23">
        <f t="shared" si="66"/>
        <v>574.7</v>
      </c>
      <c r="H238" s="16">
        <f t="shared" si="66"/>
        <v>45.6</v>
      </c>
      <c r="I238" s="17">
        <f t="shared" si="66"/>
        <v>620.3000000000001</v>
      </c>
      <c r="J238" s="16">
        <f t="shared" si="66"/>
        <v>0</v>
      </c>
      <c r="K238" s="29">
        <f t="shared" si="66"/>
        <v>620.3000000000001</v>
      </c>
      <c r="L238" s="18">
        <f t="shared" si="66"/>
        <v>-0.08855</v>
      </c>
      <c r="M238" s="24">
        <f t="shared" si="66"/>
        <v>620.21145</v>
      </c>
      <c r="N238" s="6" t="s">
        <v>369</v>
      </c>
      <c r="O238" s="6"/>
      <c r="P238" s="6"/>
      <c r="T238" s="36"/>
      <c r="U238" s="16">
        <f>U239</f>
        <v>620.21145</v>
      </c>
      <c r="AC238" s="31"/>
      <c r="AD238" s="16">
        <f t="shared" si="44"/>
        <v>620.21145</v>
      </c>
      <c r="AE238" s="26">
        <f>V238+AD238</f>
        <v>620.21145</v>
      </c>
    </row>
    <row r="239" spans="1:31" ht="40.5" customHeight="1">
      <c r="A239" s="27"/>
      <c r="B239" s="37" t="s">
        <v>370</v>
      </c>
      <c r="C239" s="96" t="s">
        <v>93</v>
      </c>
      <c r="D239" s="55" t="s">
        <v>30</v>
      </c>
      <c r="E239" s="56" t="s">
        <v>371</v>
      </c>
      <c r="F239" s="55"/>
      <c r="G239" s="40">
        <f t="shared" si="66"/>
        <v>574.7</v>
      </c>
      <c r="H239" s="41">
        <f t="shared" si="66"/>
        <v>45.6</v>
      </c>
      <c r="I239" s="42">
        <f t="shared" si="66"/>
        <v>620.3000000000001</v>
      </c>
      <c r="J239" s="41">
        <f t="shared" si="66"/>
        <v>0</v>
      </c>
      <c r="K239" s="48">
        <f t="shared" si="66"/>
        <v>620.3000000000001</v>
      </c>
      <c r="L239" s="44">
        <f t="shared" si="66"/>
        <v>-0.08855</v>
      </c>
      <c r="M239" s="95">
        <f t="shared" si="66"/>
        <v>620.21145</v>
      </c>
      <c r="N239" s="6"/>
      <c r="O239" s="6"/>
      <c r="P239" s="6"/>
      <c r="T239" s="36"/>
      <c r="U239" s="41">
        <f>U240</f>
        <v>620.21145</v>
      </c>
      <c r="AC239" s="31"/>
      <c r="AD239" s="16">
        <f t="shared" si="44"/>
        <v>620.21145</v>
      </c>
      <c r="AE239" s="26">
        <f>V239+AD239</f>
        <v>620.21145</v>
      </c>
    </row>
    <row r="240" spans="1:31" ht="53.25" customHeight="1">
      <c r="A240" s="27"/>
      <c r="B240" s="52" t="s">
        <v>372</v>
      </c>
      <c r="C240" s="96" t="s">
        <v>93</v>
      </c>
      <c r="D240" s="55" t="s">
        <v>30</v>
      </c>
      <c r="E240" s="56" t="s">
        <v>373</v>
      </c>
      <c r="F240" s="55" t="s">
        <v>103</v>
      </c>
      <c r="G240" s="40">
        <v>574.7</v>
      </c>
      <c r="H240" s="41">
        <v>45.6</v>
      </c>
      <c r="I240" s="42">
        <f>574.7+45.6</f>
        <v>620.3000000000001</v>
      </c>
      <c r="J240" s="41">
        <v>0</v>
      </c>
      <c r="K240" s="48">
        <f>574.7+45.6</f>
        <v>620.3000000000001</v>
      </c>
      <c r="L240" s="44">
        <v>-0.08855</v>
      </c>
      <c r="M240" s="95">
        <f>574.7+45.6-0.08855</f>
        <v>620.21145</v>
      </c>
      <c r="N240" s="6"/>
      <c r="O240" s="6"/>
      <c r="P240" s="6"/>
      <c r="T240" s="36"/>
      <c r="U240" s="41">
        <f>574.7+45.6-0.08855</f>
        <v>620.21145</v>
      </c>
      <c r="AC240" s="31"/>
      <c r="AD240" s="16">
        <f t="shared" si="44"/>
        <v>620.21145</v>
      </c>
      <c r="AE240" s="26">
        <f>V240+AD240</f>
        <v>620.21145</v>
      </c>
    </row>
    <row r="241" spans="1:31" ht="24" customHeight="1">
      <c r="A241" s="27"/>
      <c r="B241" s="117" t="s">
        <v>374</v>
      </c>
      <c r="C241" s="69" t="s">
        <v>44</v>
      </c>
      <c r="D241" s="69"/>
      <c r="E241" s="56"/>
      <c r="F241" s="55"/>
      <c r="G241" s="23" t="e">
        <f>G243</f>
        <v>#REF!</v>
      </c>
      <c r="H241" s="16">
        <f>H243+H248</f>
        <v>13226.06624</v>
      </c>
      <c r="I241" s="17" t="e">
        <f>G241+H241</f>
        <v>#REF!</v>
      </c>
      <c r="J241" s="16">
        <f>J242</f>
        <v>253.2</v>
      </c>
      <c r="K241" s="18" t="e">
        <f>I241+J241</f>
        <v>#REF!</v>
      </c>
      <c r="L241" s="18">
        <f>L242</f>
        <v>0</v>
      </c>
      <c r="M241" s="24">
        <f>M242+M248</f>
        <v>25070.866240000003</v>
      </c>
      <c r="N241" s="6"/>
      <c r="O241" s="6"/>
      <c r="P241" s="6"/>
      <c r="T241" s="36">
        <f>T242+T248</f>
        <v>-21.6</v>
      </c>
      <c r="U241" s="16">
        <f>U242+U248</f>
        <v>25049.26624</v>
      </c>
      <c r="AC241" s="31"/>
      <c r="AD241" s="16">
        <f t="shared" si="44"/>
        <v>25049.26624</v>
      </c>
      <c r="AE241" s="26">
        <v>24898.2</v>
      </c>
    </row>
    <row r="242" spans="1:31" ht="21.75" customHeight="1">
      <c r="A242" s="27"/>
      <c r="B242" s="20" t="s">
        <v>375</v>
      </c>
      <c r="C242" s="69" t="s">
        <v>44</v>
      </c>
      <c r="D242" s="69" t="s">
        <v>14</v>
      </c>
      <c r="E242" s="70"/>
      <c r="F242" s="69"/>
      <c r="G242" s="23" t="e">
        <f>G243</f>
        <v>#REF!</v>
      </c>
      <c r="H242" s="16">
        <f>H243</f>
        <v>284.76</v>
      </c>
      <c r="I242" s="17">
        <f>I243</f>
        <v>9912.86</v>
      </c>
      <c r="J242" s="16">
        <f>J243</f>
        <v>253.2</v>
      </c>
      <c r="K242" s="29">
        <f>K243</f>
        <v>10166.060000000001</v>
      </c>
      <c r="L242" s="18">
        <f>L243</f>
        <v>0</v>
      </c>
      <c r="M242" s="30">
        <f>M243+M246</f>
        <v>12129.560000000001</v>
      </c>
      <c r="N242" s="6"/>
      <c r="O242" s="6"/>
      <c r="P242" s="6"/>
      <c r="T242" s="36"/>
      <c r="U242" s="16">
        <f>U243</f>
        <v>12129.560000000001</v>
      </c>
      <c r="AC242" s="31"/>
      <c r="AD242" s="23">
        <f t="shared" si="44"/>
        <v>12129.560000000001</v>
      </c>
      <c r="AE242" s="26">
        <f>V242+AD242</f>
        <v>12129.560000000001</v>
      </c>
    </row>
    <row r="243" spans="1:31" ht="101.25" customHeight="1">
      <c r="A243" s="27"/>
      <c r="B243" s="51" t="s">
        <v>376</v>
      </c>
      <c r="C243" s="69" t="s">
        <v>44</v>
      </c>
      <c r="D243" s="69" t="s">
        <v>14</v>
      </c>
      <c r="E243" s="70" t="s">
        <v>377</v>
      </c>
      <c r="F243" s="69"/>
      <c r="G243" s="23" t="e">
        <f>G244+#REF!</f>
        <v>#REF!</v>
      </c>
      <c r="H243" s="16">
        <f>H244</f>
        <v>284.76</v>
      </c>
      <c r="I243" s="16">
        <f>I244</f>
        <v>9912.86</v>
      </c>
      <c r="J243" s="16">
        <f>J244</f>
        <v>253.2</v>
      </c>
      <c r="K243" s="16">
        <f>K244</f>
        <v>10166.060000000001</v>
      </c>
      <c r="L243" s="16">
        <f>L244</f>
        <v>0</v>
      </c>
      <c r="M243" s="16">
        <f>M244</f>
        <v>10166.060000000001</v>
      </c>
      <c r="N243" s="6"/>
      <c r="O243" s="6"/>
      <c r="P243" s="6"/>
      <c r="T243" s="36"/>
      <c r="U243" s="16">
        <f>U244+U246</f>
        <v>12129.560000000001</v>
      </c>
      <c r="AC243" s="31"/>
      <c r="AD243" s="23">
        <f t="shared" si="44"/>
        <v>12129.560000000001</v>
      </c>
      <c r="AE243" s="26">
        <f>AE244+AE246</f>
        <v>12129.560000000001</v>
      </c>
    </row>
    <row r="244" spans="1:31" ht="39.75" customHeight="1">
      <c r="A244" s="27"/>
      <c r="B244" s="176" t="s">
        <v>378</v>
      </c>
      <c r="C244" s="65" t="s">
        <v>44</v>
      </c>
      <c r="D244" s="65" t="s">
        <v>14</v>
      </c>
      <c r="E244" s="66" t="s">
        <v>379</v>
      </c>
      <c r="F244" s="55"/>
      <c r="G244" s="40">
        <f>G245</f>
        <v>9628.1</v>
      </c>
      <c r="H244" s="46">
        <f>H245</f>
        <v>284.76</v>
      </c>
      <c r="I244" s="46">
        <f>I245</f>
        <v>9912.86</v>
      </c>
      <c r="J244" s="46">
        <f>J245</f>
        <v>253.2</v>
      </c>
      <c r="K244" s="46">
        <f>K245</f>
        <v>10166.060000000001</v>
      </c>
      <c r="L244" s="46">
        <f>L245</f>
        <v>0</v>
      </c>
      <c r="M244" s="46">
        <f>M245</f>
        <v>10166.060000000001</v>
      </c>
      <c r="N244" s="6"/>
      <c r="O244" s="6"/>
      <c r="P244" s="6"/>
      <c r="T244" s="36"/>
      <c r="U244" s="121">
        <f>U245</f>
        <v>10166.060000000001</v>
      </c>
      <c r="AC244" s="31"/>
      <c r="AD244" s="23">
        <f t="shared" si="44"/>
        <v>10166.060000000001</v>
      </c>
      <c r="AE244" s="26">
        <f>V244+AD244</f>
        <v>10166.060000000001</v>
      </c>
    </row>
    <row r="245" spans="1:31" ht="98.25" customHeight="1">
      <c r="A245" s="27"/>
      <c r="B245" s="47" t="s">
        <v>380</v>
      </c>
      <c r="C245" s="55" t="s">
        <v>44</v>
      </c>
      <c r="D245" s="55" t="s">
        <v>14</v>
      </c>
      <c r="E245" s="56" t="s">
        <v>381</v>
      </c>
      <c r="F245" s="55" t="s">
        <v>325</v>
      </c>
      <c r="G245" s="40">
        <f>11057.6+534-1963.5</f>
        <v>9628.1</v>
      </c>
      <c r="H245" s="41">
        <v>284.76</v>
      </c>
      <c r="I245" s="42">
        <f>11057.6+534-1963.5+284.76</f>
        <v>9912.86</v>
      </c>
      <c r="J245" s="41">
        <f>0+253.2</f>
        <v>253.2</v>
      </c>
      <c r="K245" s="48">
        <f>11057.6+534-1963.5+284.76+253.2</f>
        <v>10166.060000000001</v>
      </c>
      <c r="L245" s="44">
        <v>0</v>
      </c>
      <c r="M245" s="49">
        <f>11057.6+534-1963.5+284.76+253.2</f>
        <v>10166.060000000001</v>
      </c>
      <c r="N245" s="6"/>
      <c r="O245" s="6"/>
      <c r="P245" s="6"/>
      <c r="T245" s="36"/>
      <c r="U245" s="121">
        <f>11057.6+534-1963.5+284.76+253.2</f>
        <v>10166.060000000001</v>
      </c>
      <c r="AC245" s="31"/>
      <c r="AD245" s="23">
        <f t="shared" si="44"/>
        <v>10166.060000000001</v>
      </c>
      <c r="AE245" s="26">
        <f>V245+AD245</f>
        <v>10166.060000000001</v>
      </c>
    </row>
    <row r="246" spans="1:31" ht="56.25" customHeight="1">
      <c r="A246" s="27"/>
      <c r="B246" s="47" t="s">
        <v>382</v>
      </c>
      <c r="C246" s="55" t="s">
        <v>44</v>
      </c>
      <c r="D246" s="55" t="s">
        <v>14</v>
      </c>
      <c r="E246" s="56" t="s">
        <v>383</v>
      </c>
      <c r="F246" s="55" t="s">
        <v>325</v>
      </c>
      <c r="G246" s="40">
        <v>0</v>
      </c>
      <c r="H246" s="41">
        <f aca="true" t="shared" si="67" ref="H246:M246">H247</f>
        <v>1963.5</v>
      </c>
      <c r="I246" s="42">
        <f t="shared" si="67"/>
        <v>1963.5</v>
      </c>
      <c r="J246" s="41">
        <f t="shared" si="67"/>
        <v>0</v>
      </c>
      <c r="K246" s="48">
        <f t="shared" si="67"/>
        <v>1963.5</v>
      </c>
      <c r="L246" s="44">
        <f t="shared" si="67"/>
        <v>0</v>
      </c>
      <c r="M246" s="49">
        <f t="shared" si="67"/>
        <v>1963.5</v>
      </c>
      <c r="N246" s="6"/>
      <c r="O246" s="6"/>
      <c r="P246" s="6"/>
      <c r="T246" s="36"/>
      <c r="U246" s="40">
        <f>U247</f>
        <v>1963.5</v>
      </c>
      <c r="AC246" s="31"/>
      <c r="AD246" s="23">
        <f t="shared" si="44"/>
        <v>1963.5</v>
      </c>
      <c r="AE246" s="26">
        <f>V246+AD246</f>
        <v>1963.5</v>
      </c>
    </row>
    <row r="247" spans="1:31" ht="135.75" customHeight="1">
      <c r="A247" s="27"/>
      <c r="B247" s="47" t="s">
        <v>384</v>
      </c>
      <c r="C247" s="55" t="s">
        <v>44</v>
      </c>
      <c r="D247" s="55" t="s">
        <v>14</v>
      </c>
      <c r="E247" s="56" t="s">
        <v>385</v>
      </c>
      <c r="F247" s="55" t="s">
        <v>325</v>
      </c>
      <c r="G247" s="40">
        <v>0</v>
      </c>
      <c r="H247" s="41">
        <v>1963.5</v>
      </c>
      <c r="I247" s="42">
        <f>G247+H247</f>
        <v>1963.5</v>
      </c>
      <c r="J247" s="41">
        <v>0</v>
      </c>
      <c r="K247" s="48">
        <f>I247+J247</f>
        <v>1963.5</v>
      </c>
      <c r="L247" s="44">
        <v>0</v>
      </c>
      <c r="M247" s="49">
        <f>K247+L247</f>
        <v>1963.5</v>
      </c>
      <c r="N247" s="6"/>
      <c r="O247" s="6"/>
      <c r="P247" s="6"/>
      <c r="T247" s="36"/>
      <c r="U247" s="40">
        <f>M247</f>
        <v>1963.5</v>
      </c>
      <c r="AC247" s="31"/>
      <c r="AD247" s="23">
        <f t="shared" si="44"/>
        <v>1963.5</v>
      </c>
      <c r="AE247" s="26">
        <f>V247+AD247</f>
        <v>1963.5</v>
      </c>
    </row>
    <row r="248" spans="1:31" ht="26.25" customHeight="1">
      <c r="A248" s="27"/>
      <c r="B248" s="20" t="s">
        <v>386</v>
      </c>
      <c r="C248" s="69">
        <v>11</v>
      </c>
      <c r="D248" s="113" t="s">
        <v>16</v>
      </c>
      <c r="E248" s="114"/>
      <c r="F248" s="113"/>
      <c r="G248" s="40">
        <v>0</v>
      </c>
      <c r="H248" s="41">
        <f>H249</f>
        <v>12941.30624</v>
      </c>
      <c r="I248" s="42">
        <f>G248+H248</f>
        <v>12941.30624</v>
      </c>
      <c r="J248" s="41">
        <f>J249</f>
        <v>0</v>
      </c>
      <c r="K248" s="44">
        <f>I248+J248</f>
        <v>12941.30624</v>
      </c>
      <c r="L248" s="44">
        <f>L249</f>
        <v>0</v>
      </c>
      <c r="M248" s="95">
        <f>K248+L248</f>
        <v>12941.30624</v>
      </c>
      <c r="N248" s="6"/>
      <c r="O248" s="6"/>
      <c r="P248" s="6"/>
      <c r="T248" s="36">
        <f>T249</f>
        <v>-21.6</v>
      </c>
      <c r="U248" s="41">
        <f>M248+T248</f>
        <v>12919.70624</v>
      </c>
      <c r="AC248" s="31"/>
      <c r="AD248" s="16">
        <f t="shared" si="44"/>
        <v>12919.70624</v>
      </c>
      <c r="AE248" s="26">
        <f>AE249</f>
        <v>12768.62227</v>
      </c>
    </row>
    <row r="249" spans="1:31" ht="101.25" customHeight="1">
      <c r="A249" s="27"/>
      <c r="B249" s="51" t="s">
        <v>376</v>
      </c>
      <c r="C249" s="69" t="s">
        <v>44</v>
      </c>
      <c r="D249" s="69" t="s">
        <v>16</v>
      </c>
      <c r="E249" s="70" t="s">
        <v>377</v>
      </c>
      <c r="F249" s="113"/>
      <c r="G249" s="40">
        <v>0</v>
      </c>
      <c r="H249" s="41">
        <f aca="true" t="shared" si="68" ref="H249:U249">H252+H250</f>
        <v>12941.30624</v>
      </c>
      <c r="I249" s="41">
        <f t="shared" si="68"/>
        <v>12941.30624</v>
      </c>
      <c r="J249" s="41">
        <f t="shared" si="68"/>
        <v>0</v>
      </c>
      <c r="K249" s="41">
        <f t="shared" si="68"/>
        <v>12941.30624</v>
      </c>
      <c r="L249" s="41">
        <f t="shared" si="68"/>
        <v>0</v>
      </c>
      <c r="M249" s="41">
        <f t="shared" si="68"/>
        <v>12941.30624</v>
      </c>
      <c r="N249" s="41">
        <f t="shared" si="68"/>
        <v>0</v>
      </c>
      <c r="O249" s="41">
        <f t="shared" si="68"/>
        <v>0</v>
      </c>
      <c r="P249" s="41">
        <f t="shared" si="68"/>
        <v>0</v>
      </c>
      <c r="Q249" s="41">
        <f t="shared" si="68"/>
        <v>0</v>
      </c>
      <c r="R249" s="41">
        <f t="shared" si="68"/>
        <v>0</v>
      </c>
      <c r="S249" s="41">
        <f t="shared" si="68"/>
        <v>0</v>
      </c>
      <c r="T249" s="40">
        <f t="shared" si="68"/>
        <v>-21.6</v>
      </c>
      <c r="U249" s="41">
        <f t="shared" si="68"/>
        <v>12919.70624</v>
      </c>
      <c r="AC249" s="31"/>
      <c r="AD249" s="16">
        <f t="shared" si="44"/>
        <v>12919.70624</v>
      </c>
      <c r="AE249" s="26">
        <f>AE250+AE252</f>
        <v>12768.62227</v>
      </c>
    </row>
    <row r="250" spans="1:31" ht="41.25" customHeight="1">
      <c r="A250" s="27"/>
      <c r="B250" s="185" t="s">
        <v>387</v>
      </c>
      <c r="C250" s="55" t="s">
        <v>44</v>
      </c>
      <c r="D250" s="55" t="s">
        <v>16</v>
      </c>
      <c r="E250" s="56" t="s">
        <v>379</v>
      </c>
      <c r="F250" s="55"/>
      <c r="G250" s="40">
        <v>0</v>
      </c>
      <c r="H250" s="41">
        <f>H251</f>
        <v>226.1</v>
      </c>
      <c r="I250" s="42">
        <f>G250+H250</f>
        <v>226.1</v>
      </c>
      <c r="J250" s="41">
        <f>J251</f>
        <v>0</v>
      </c>
      <c r="K250" s="48">
        <f>I250+J250</f>
        <v>226.1</v>
      </c>
      <c r="L250" s="44">
        <f>L251</f>
        <v>0</v>
      </c>
      <c r="M250" s="49">
        <f>K250+L250</f>
        <v>226.1</v>
      </c>
      <c r="N250" s="6"/>
      <c r="O250" s="6"/>
      <c r="P250" s="6"/>
      <c r="T250" s="36">
        <f>T251</f>
        <v>-21.6</v>
      </c>
      <c r="U250" s="40">
        <f>M250+T250</f>
        <v>204.5</v>
      </c>
      <c r="AC250" s="31"/>
      <c r="AD250" s="16">
        <f t="shared" si="44"/>
        <v>204.5</v>
      </c>
      <c r="AE250" s="26">
        <f>V250+AD250</f>
        <v>204.5</v>
      </c>
    </row>
    <row r="251" spans="1:31" ht="73.5" customHeight="1">
      <c r="A251" s="27"/>
      <c r="B251" s="180" t="s">
        <v>388</v>
      </c>
      <c r="C251" s="55" t="s">
        <v>44</v>
      </c>
      <c r="D251" s="55" t="s">
        <v>16</v>
      </c>
      <c r="E251" s="56" t="s">
        <v>389</v>
      </c>
      <c r="F251" s="55" t="s">
        <v>205</v>
      </c>
      <c r="G251" s="40">
        <v>0</v>
      </c>
      <c r="H251" s="41">
        <v>226.1</v>
      </c>
      <c r="I251" s="42">
        <f>G251+H251</f>
        <v>226.1</v>
      </c>
      <c r="J251" s="41">
        <v>0</v>
      </c>
      <c r="K251" s="48">
        <f>I251+J251</f>
        <v>226.1</v>
      </c>
      <c r="L251" s="44">
        <v>0</v>
      </c>
      <c r="M251" s="49">
        <f>K251+L251</f>
        <v>226.1</v>
      </c>
      <c r="N251" s="6"/>
      <c r="O251" s="6"/>
      <c r="P251" s="6"/>
      <c r="T251" s="36">
        <v>-21.6</v>
      </c>
      <c r="U251" s="40">
        <f>M251+T251</f>
        <v>204.5</v>
      </c>
      <c r="W251" t="s">
        <v>390</v>
      </c>
      <c r="AC251" s="31"/>
      <c r="AD251" s="16">
        <f t="shared" si="44"/>
        <v>204.5</v>
      </c>
      <c r="AE251" s="26">
        <f>V251+AD251</f>
        <v>204.5</v>
      </c>
    </row>
    <row r="252" spans="1:31" ht="57" customHeight="1">
      <c r="A252" s="27"/>
      <c r="B252" s="77" t="s">
        <v>391</v>
      </c>
      <c r="C252" s="55" t="s">
        <v>44</v>
      </c>
      <c r="D252" s="55" t="s">
        <v>16</v>
      </c>
      <c r="E252" s="56" t="s">
        <v>383</v>
      </c>
      <c r="F252" s="55"/>
      <c r="G252" s="40">
        <v>0</v>
      </c>
      <c r="H252" s="41">
        <f>H253</f>
        <v>12715.20624</v>
      </c>
      <c r="I252" s="41">
        <f>G252+H252</f>
        <v>12715.20624</v>
      </c>
      <c r="J252" s="41">
        <f>J253</f>
        <v>0</v>
      </c>
      <c r="K252" s="44">
        <f>I252</f>
        <v>12715.20624</v>
      </c>
      <c r="L252" s="44">
        <f>L253</f>
        <v>0</v>
      </c>
      <c r="M252" s="95">
        <f>K252+L252</f>
        <v>12715.20624</v>
      </c>
      <c r="N252" s="6"/>
      <c r="O252" s="6"/>
      <c r="P252" s="6"/>
      <c r="T252" s="36"/>
      <c r="U252" s="41">
        <f>M252</f>
        <v>12715.20624</v>
      </c>
      <c r="AC252" s="31"/>
      <c r="AD252" s="16">
        <f t="shared" si="44"/>
        <v>12715.20624</v>
      </c>
      <c r="AE252" s="26">
        <f>AE253</f>
        <v>12564.12227</v>
      </c>
    </row>
    <row r="253" spans="1:31" ht="99.75" customHeight="1">
      <c r="A253" s="27"/>
      <c r="B253" s="37" t="s">
        <v>392</v>
      </c>
      <c r="C253" s="55" t="s">
        <v>44</v>
      </c>
      <c r="D253" s="55" t="s">
        <v>16</v>
      </c>
      <c r="E253" s="56" t="s">
        <v>393</v>
      </c>
      <c r="F253" s="55" t="s">
        <v>205</v>
      </c>
      <c r="G253" s="40">
        <v>0</v>
      </c>
      <c r="H253" s="41">
        <f>H254+10299.30624</f>
        <v>12715.20624</v>
      </c>
      <c r="I253" s="42">
        <f>G253+H253</f>
        <v>12715.20624</v>
      </c>
      <c r="J253" s="41">
        <v>0</v>
      </c>
      <c r="K253" s="44">
        <f>I253+J253</f>
        <v>12715.20624</v>
      </c>
      <c r="L253" s="44">
        <v>0</v>
      </c>
      <c r="M253" s="95">
        <f>K253+L253</f>
        <v>12715.20624</v>
      </c>
      <c r="N253" s="6"/>
      <c r="O253" s="6"/>
      <c r="P253" s="6"/>
      <c r="T253" s="36"/>
      <c r="U253" s="41">
        <f>M253</f>
        <v>12715.20624</v>
      </c>
      <c r="AC253" s="31"/>
      <c r="AD253" s="16">
        <f t="shared" si="44"/>
        <v>12715.20624</v>
      </c>
      <c r="AE253" s="26">
        <v>12564.12227</v>
      </c>
    </row>
    <row r="254" spans="1:31" ht="35.25" customHeight="1">
      <c r="A254" s="27"/>
      <c r="B254" s="97" t="s">
        <v>126</v>
      </c>
      <c r="C254" s="55" t="s">
        <v>44</v>
      </c>
      <c r="D254" s="55" t="s">
        <v>16</v>
      </c>
      <c r="E254" s="56" t="s">
        <v>393</v>
      </c>
      <c r="F254" s="55" t="s">
        <v>205</v>
      </c>
      <c r="G254" s="40">
        <v>0</v>
      </c>
      <c r="H254" s="41">
        <v>2415.9</v>
      </c>
      <c r="I254" s="42">
        <f>G254+H254</f>
        <v>2415.9</v>
      </c>
      <c r="J254" s="41">
        <v>0</v>
      </c>
      <c r="K254" s="48">
        <f>I254+J254</f>
        <v>2415.9</v>
      </c>
      <c r="L254" s="44">
        <v>0</v>
      </c>
      <c r="M254" s="49">
        <f>K254+L254</f>
        <v>2415.9</v>
      </c>
      <c r="N254" s="6"/>
      <c r="O254" s="6"/>
      <c r="P254" s="6"/>
      <c r="T254" s="36"/>
      <c r="U254" s="40">
        <f>M254</f>
        <v>2415.9</v>
      </c>
      <c r="AC254" s="31"/>
      <c r="AD254" s="23">
        <f t="shared" si="44"/>
        <v>2415.9</v>
      </c>
      <c r="AE254" s="26">
        <v>2387.18191</v>
      </c>
    </row>
    <row r="255" spans="1:31" ht="19.5" customHeight="1">
      <c r="A255" s="186"/>
      <c r="B255" s="187" t="s">
        <v>394</v>
      </c>
      <c r="C255" s="187"/>
      <c r="D255" s="187"/>
      <c r="E255" s="188"/>
      <c r="F255" s="187"/>
      <c r="G255" s="189" t="e">
        <f aca="true" t="shared" si="69" ref="G255:U255">G14</f>
        <v>#REF!</v>
      </c>
      <c r="H255" s="190">
        <f t="shared" si="69"/>
        <v>274658.32985999994</v>
      </c>
      <c r="I255" s="191" t="e">
        <f t="shared" si="69"/>
        <v>#REF!</v>
      </c>
      <c r="J255" s="190">
        <f t="shared" si="69"/>
        <v>5151.042960000001</v>
      </c>
      <c r="K255" s="192" t="e">
        <f t="shared" si="69"/>
        <v>#REF!</v>
      </c>
      <c r="L255" s="192">
        <f t="shared" si="69"/>
        <v>17124.514450000006</v>
      </c>
      <c r="M255" s="193">
        <f t="shared" si="69"/>
        <v>391491.88726999995</v>
      </c>
      <c r="N255" s="193">
        <f t="shared" si="69"/>
        <v>0</v>
      </c>
      <c r="O255" s="193">
        <f t="shared" si="69"/>
        <v>0</v>
      </c>
      <c r="P255" s="193">
        <f t="shared" si="69"/>
        <v>0</v>
      </c>
      <c r="Q255" s="193">
        <f t="shared" si="69"/>
        <v>0</v>
      </c>
      <c r="R255" s="193">
        <f t="shared" si="69"/>
        <v>0</v>
      </c>
      <c r="S255" s="193">
        <f t="shared" si="69"/>
        <v>0</v>
      </c>
      <c r="T255" s="190">
        <f t="shared" si="69"/>
        <v>-3458.2545699999996</v>
      </c>
      <c r="U255" s="190">
        <f t="shared" si="69"/>
        <v>388033.63269999996</v>
      </c>
      <c r="AC255" s="31">
        <f>AC14</f>
        <v>20726.8</v>
      </c>
      <c r="AD255" s="16">
        <f t="shared" si="44"/>
        <v>408760.43269999995</v>
      </c>
      <c r="AE255" s="26">
        <f>AE14</f>
        <v>270027.11163</v>
      </c>
    </row>
    <row r="256" spans="2:16" ht="15.75">
      <c r="B256" s="6"/>
      <c r="C256" s="6"/>
      <c r="D256" s="6"/>
      <c r="E256" s="6"/>
      <c r="F256" s="6"/>
      <c r="L256" s="6"/>
      <c r="N256" s="6"/>
      <c r="O256" s="6"/>
      <c r="P256" s="6"/>
    </row>
    <row r="257" spans="2:16" ht="15.75">
      <c r="B257" s="6"/>
      <c r="C257" s="6"/>
      <c r="D257" s="6"/>
      <c r="E257" s="6"/>
      <c r="F257" s="6"/>
      <c r="L257" s="6"/>
      <c r="N257" s="6"/>
      <c r="O257" s="6"/>
      <c r="P257" s="6"/>
    </row>
    <row r="258" spans="2:16" ht="15.75">
      <c r="B258" s="6"/>
      <c r="C258" s="6"/>
      <c r="D258" s="6"/>
      <c r="E258" s="6"/>
      <c r="F258" s="6"/>
      <c r="L258" s="6"/>
      <c r="N258" s="6"/>
      <c r="O258" s="6"/>
      <c r="P258" s="6"/>
    </row>
    <row r="259" spans="2:16" ht="15.75">
      <c r="B259" s="6"/>
      <c r="C259" s="6"/>
      <c r="D259" s="6"/>
      <c r="E259" s="6"/>
      <c r="F259" s="6"/>
      <c r="L259" s="6"/>
      <c r="N259" s="6"/>
      <c r="O259" s="6"/>
      <c r="P259" s="6"/>
    </row>
    <row r="260" spans="2:16" ht="15.75">
      <c r="B260" s="6"/>
      <c r="C260" s="6"/>
      <c r="D260" s="6"/>
      <c r="E260" s="6"/>
      <c r="F260" s="6"/>
      <c r="L260" s="6"/>
      <c r="N260" s="6"/>
      <c r="O260" s="6"/>
      <c r="P260" s="6"/>
    </row>
    <row r="261" spans="2:16" ht="15.75">
      <c r="B261" s="6"/>
      <c r="C261" s="6"/>
      <c r="D261" s="6"/>
      <c r="E261" s="6"/>
      <c r="F261" s="6"/>
      <c r="L261" s="6"/>
      <c r="N261" s="6"/>
      <c r="O261" s="6"/>
      <c r="P261" s="6"/>
    </row>
    <row r="262" spans="2:16" ht="15.75">
      <c r="B262" s="6"/>
      <c r="C262" s="6"/>
      <c r="D262" s="6"/>
      <c r="E262" s="6"/>
      <c r="F262" s="6"/>
      <c r="L262" s="6"/>
      <c r="N262" s="6"/>
      <c r="O262" s="6"/>
      <c r="P262" s="6"/>
    </row>
    <row r="263" spans="2:16" ht="15.75">
      <c r="B263" s="6"/>
      <c r="C263" s="6"/>
      <c r="D263" s="6"/>
      <c r="E263" s="6"/>
      <c r="F263" s="6"/>
      <c r="L263" s="6"/>
      <c r="N263" s="6"/>
      <c r="O263" s="6"/>
      <c r="P263" s="6"/>
    </row>
    <row r="264" spans="2:16" ht="15.75">
      <c r="B264" s="6"/>
      <c r="C264" s="6"/>
      <c r="D264" s="6"/>
      <c r="E264" s="6"/>
      <c r="F264" s="6"/>
      <c r="L264" s="6"/>
      <c r="N264" s="6"/>
      <c r="O264" s="6"/>
      <c r="P264" s="6"/>
    </row>
    <row r="265" spans="2:16" ht="15.75">
      <c r="B265" s="6"/>
      <c r="C265" s="6"/>
      <c r="D265" s="6"/>
      <c r="E265" s="6"/>
      <c r="F265" s="6"/>
      <c r="L265" s="6"/>
      <c r="N265" s="6"/>
      <c r="O265" s="6"/>
      <c r="P265" s="6"/>
    </row>
    <row r="266" spans="2:16" ht="15.75">
      <c r="B266" s="6"/>
      <c r="C266" s="6"/>
      <c r="D266" s="6"/>
      <c r="E266" s="6"/>
      <c r="F266" s="6"/>
      <c r="L266" s="6"/>
      <c r="N266" s="6"/>
      <c r="O266" s="6"/>
      <c r="P266" s="6"/>
    </row>
    <row r="267" spans="2:16" ht="15.75">
      <c r="B267" s="6"/>
      <c r="C267" s="6"/>
      <c r="D267" s="6"/>
      <c r="E267" s="6"/>
      <c r="F267" s="6"/>
      <c r="L267" s="6"/>
      <c r="N267" s="6"/>
      <c r="O267" s="6"/>
      <c r="P267" s="6"/>
    </row>
    <row r="268" spans="2:16" ht="15.75">
      <c r="B268" s="6"/>
      <c r="C268" s="6"/>
      <c r="D268" s="6"/>
      <c r="E268" s="6"/>
      <c r="F268" s="6"/>
      <c r="L268" s="6"/>
      <c r="N268" s="6"/>
      <c r="O268" s="6"/>
      <c r="P268" s="6"/>
    </row>
    <row r="269" spans="2:16" ht="15.75">
      <c r="B269" s="6"/>
      <c r="C269" s="6"/>
      <c r="D269" s="6"/>
      <c r="E269" s="6"/>
      <c r="F269" s="6"/>
      <c r="L269" s="6"/>
      <c r="N269" s="6"/>
      <c r="O269" s="6"/>
      <c r="P269" s="6"/>
    </row>
    <row r="270" spans="2:16" ht="15.75">
      <c r="B270" s="6"/>
      <c r="C270" s="6"/>
      <c r="D270" s="6"/>
      <c r="E270" s="6"/>
      <c r="F270" s="6"/>
      <c r="L270" s="6"/>
      <c r="N270" s="6"/>
      <c r="O270" s="6"/>
      <c r="P270" s="6"/>
    </row>
    <row r="271" spans="2:16" ht="15.75">
      <c r="B271" s="6"/>
      <c r="C271" s="6"/>
      <c r="D271" s="6"/>
      <c r="E271" s="6"/>
      <c r="F271" s="6"/>
      <c r="L271" s="6"/>
      <c r="N271" s="6"/>
      <c r="O271" s="6"/>
      <c r="P271" s="6"/>
    </row>
    <row r="272" spans="2:16" ht="15.75">
      <c r="B272" s="6"/>
      <c r="C272" s="6"/>
      <c r="D272" s="6"/>
      <c r="E272" s="6"/>
      <c r="F272" s="6"/>
      <c r="L272" s="6"/>
      <c r="N272" s="6"/>
      <c r="O272" s="6"/>
      <c r="P272" s="6"/>
    </row>
    <row r="273" spans="2:16" ht="15.75">
      <c r="B273" s="6"/>
      <c r="C273" s="6"/>
      <c r="D273" s="6"/>
      <c r="E273" s="6"/>
      <c r="F273" s="6"/>
      <c r="L273" s="6"/>
      <c r="N273" s="6"/>
      <c r="O273" s="6"/>
      <c r="P273" s="6"/>
    </row>
    <row r="274" spans="2:16" ht="15.75">
      <c r="B274" s="6"/>
      <c r="C274" s="6"/>
      <c r="D274" s="6"/>
      <c r="E274" s="6"/>
      <c r="F274" s="6"/>
      <c r="L274" s="6"/>
      <c r="N274" s="6"/>
      <c r="O274" s="6"/>
      <c r="P274" s="6"/>
    </row>
    <row r="275" spans="2:16" ht="15.75">
      <c r="B275" s="6"/>
      <c r="C275" s="6"/>
      <c r="D275" s="6"/>
      <c r="E275" s="6"/>
      <c r="F275" s="6"/>
      <c r="L275" s="6"/>
      <c r="N275" s="6"/>
      <c r="O275" s="6"/>
      <c r="P275" s="6"/>
    </row>
    <row r="276" spans="2:16" ht="15.75">
      <c r="B276" s="6"/>
      <c r="C276" s="6"/>
      <c r="D276" s="6"/>
      <c r="E276" s="6"/>
      <c r="F276" s="6"/>
      <c r="L276" s="6"/>
      <c r="N276" s="6"/>
      <c r="O276" s="6"/>
      <c r="P276" s="6"/>
    </row>
    <row r="277" spans="2:16" ht="15.75">
      <c r="B277" s="6"/>
      <c r="C277" s="6"/>
      <c r="D277" s="6"/>
      <c r="E277" s="6"/>
      <c r="F277" s="6"/>
      <c r="L277" s="6"/>
      <c r="N277" s="6"/>
      <c r="O277" s="6"/>
      <c r="P277" s="6"/>
    </row>
    <row r="278" spans="2:16" ht="15.75">
      <c r="B278" s="6"/>
      <c r="C278" s="6"/>
      <c r="D278" s="6"/>
      <c r="E278" s="6"/>
      <c r="F278" s="6"/>
      <c r="L278" s="6"/>
      <c r="N278" s="6"/>
      <c r="O278" s="6"/>
      <c r="P278" s="6"/>
    </row>
    <row r="279" spans="2:16" ht="15.75">
      <c r="B279" s="6"/>
      <c r="C279" s="6"/>
      <c r="D279" s="6"/>
      <c r="E279" s="6"/>
      <c r="F279" s="6"/>
      <c r="L279" s="6"/>
      <c r="N279" s="6"/>
      <c r="O279" s="6"/>
      <c r="P279" s="6"/>
    </row>
    <row r="280" spans="2:16" ht="15.75">
      <c r="B280" s="6"/>
      <c r="C280" s="6"/>
      <c r="D280" s="6"/>
      <c r="E280" s="6"/>
      <c r="F280" s="6"/>
      <c r="L280" s="6"/>
      <c r="N280" s="6"/>
      <c r="O280" s="6"/>
      <c r="P280" s="6"/>
    </row>
    <row r="281" spans="2:16" ht="15.75">
      <c r="B281" s="6"/>
      <c r="C281" s="6"/>
      <c r="D281" s="6"/>
      <c r="E281" s="6"/>
      <c r="F281" s="6"/>
      <c r="L281" s="6"/>
      <c r="N281" s="6"/>
      <c r="O281" s="6"/>
      <c r="P281" s="6"/>
    </row>
    <row r="282" spans="2:16" ht="15.75">
      <c r="B282" s="6"/>
      <c r="C282" s="6"/>
      <c r="D282" s="6"/>
      <c r="E282" s="6"/>
      <c r="F282" s="6"/>
      <c r="L282" s="6"/>
      <c r="N282" s="6"/>
      <c r="O282" s="6"/>
      <c r="P282" s="6"/>
    </row>
    <row r="283" spans="2:16" ht="15.75">
      <c r="B283" s="6"/>
      <c r="C283" s="6"/>
      <c r="D283" s="6"/>
      <c r="E283" s="6"/>
      <c r="F283" s="6"/>
      <c r="L283" s="6"/>
      <c r="N283" s="6"/>
      <c r="O283" s="6"/>
      <c r="P283" s="6"/>
    </row>
    <row r="284" spans="2:16" ht="15.75">
      <c r="B284" s="6"/>
      <c r="C284" s="6"/>
      <c r="D284" s="6"/>
      <c r="E284" s="6"/>
      <c r="F284" s="6"/>
      <c r="L284" s="6"/>
      <c r="N284" s="6"/>
      <c r="O284" s="6"/>
      <c r="P284" s="6"/>
    </row>
    <row r="285" spans="2:16" ht="15.75">
      <c r="B285" s="6"/>
      <c r="C285" s="6"/>
      <c r="D285" s="6"/>
      <c r="E285" s="6"/>
      <c r="F285" s="6"/>
      <c r="L285" s="6"/>
      <c r="N285" s="6"/>
      <c r="O285" s="6"/>
      <c r="P285" s="6"/>
    </row>
    <row r="286" spans="2:16" ht="15.75">
      <c r="B286" s="6"/>
      <c r="C286" s="6"/>
      <c r="D286" s="6"/>
      <c r="E286" s="6"/>
      <c r="F286" s="6"/>
      <c r="L286" s="6"/>
      <c r="N286" s="6"/>
      <c r="O286" s="6"/>
      <c r="P286" s="6"/>
    </row>
    <row r="287" spans="2:16" ht="15.75">
      <c r="B287" s="6"/>
      <c r="C287" s="6"/>
      <c r="D287" s="6"/>
      <c r="E287" s="6"/>
      <c r="F287" s="6"/>
      <c r="L287" s="6"/>
      <c r="N287" s="6"/>
      <c r="O287" s="6"/>
      <c r="P287" s="6"/>
    </row>
    <row r="288" spans="2:16" ht="15.75">
      <c r="B288" s="6"/>
      <c r="C288" s="6"/>
      <c r="D288" s="6"/>
      <c r="E288" s="6"/>
      <c r="F288" s="6"/>
      <c r="L288" s="6"/>
      <c r="N288" s="6"/>
      <c r="O288" s="6"/>
      <c r="P288" s="6"/>
    </row>
    <row r="289" spans="2:16" ht="15.75">
      <c r="B289" s="6"/>
      <c r="C289" s="6"/>
      <c r="D289" s="6"/>
      <c r="E289" s="6"/>
      <c r="F289" s="6"/>
      <c r="L289" s="6"/>
      <c r="N289" s="6"/>
      <c r="O289" s="6"/>
      <c r="P289" s="6"/>
    </row>
    <row r="290" spans="2:16" ht="15.75">
      <c r="B290" s="6"/>
      <c r="C290" s="6"/>
      <c r="D290" s="6"/>
      <c r="E290" s="6"/>
      <c r="F290" s="6"/>
      <c r="L290" s="6"/>
      <c r="N290" s="6"/>
      <c r="O290" s="6"/>
      <c r="P290" s="6"/>
    </row>
    <row r="291" spans="2:16" ht="15.75">
      <c r="B291" s="6"/>
      <c r="C291" s="6"/>
      <c r="D291" s="6"/>
      <c r="E291" s="6"/>
      <c r="F291" s="6"/>
      <c r="L291" s="6"/>
      <c r="N291" s="6"/>
      <c r="O291" s="6"/>
      <c r="P291" s="6"/>
    </row>
    <row r="292" spans="2:16" ht="15.75">
      <c r="B292" s="6"/>
      <c r="C292" s="6"/>
      <c r="D292" s="6"/>
      <c r="E292" s="6"/>
      <c r="F292" s="6"/>
      <c r="L292" s="6"/>
      <c r="N292" s="6"/>
      <c r="O292" s="6"/>
      <c r="P292" s="6"/>
    </row>
    <row r="293" spans="2:16" ht="15.75">
      <c r="B293" s="6"/>
      <c r="C293" s="6"/>
      <c r="D293" s="6"/>
      <c r="E293" s="6"/>
      <c r="F293" s="6"/>
      <c r="L293" s="6"/>
      <c r="N293" s="6"/>
      <c r="O293" s="6"/>
      <c r="P293" s="6"/>
    </row>
    <row r="294" spans="2:16" ht="15.75">
      <c r="B294" s="6"/>
      <c r="C294" s="6"/>
      <c r="D294" s="6"/>
      <c r="E294" s="6"/>
      <c r="F294" s="6"/>
      <c r="L294" s="6"/>
      <c r="N294" s="6"/>
      <c r="O294" s="6"/>
      <c r="P294" s="6"/>
    </row>
    <row r="295" spans="2:16" ht="15.75">
      <c r="B295" s="6"/>
      <c r="C295" s="6"/>
      <c r="D295" s="6"/>
      <c r="E295" s="6"/>
      <c r="F295" s="6"/>
      <c r="L295" s="6"/>
      <c r="N295" s="6"/>
      <c r="O295" s="6"/>
      <c r="P295" s="6"/>
    </row>
    <row r="296" spans="2:16" ht="15.75">
      <c r="B296" s="6"/>
      <c r="C296" s="6"/>
      <c r="D296" s="6"/>
      <c r="E296" s="6"/>
      <c r="F296" s="6"/>
      <c r="L296" s="6"/>
      <c r="N296" s="6"/>
      <c r="O296" s="6"/>
      <c r="P296" s="6"/>
    </row>
    <row r="297" spans="2:16" ht="15.75">
      <c r="B297" s="6"/>
      <c r="C297" s="6"/>
      <c r="D297" s="6"/>
      <c r="E297" s="6"/>
      <c r="F297" s="6"/>
      <c r="L297" s="6"/>
      <c r="N297" s="6"/>
      <c r="O297" s="6"/>
      <c r="P297" s="6"/>
    </row>
    <row r="298" spans="2:16" ht="15.75">
      <c r="B298" s="6"/>
      <c r="C298" s="6"/>
      <c r="D298" s="6"/>
      <c r="E298" s="6"/>
      <c r="F298" s="6"/>
      <c r="L298" s="6"/>
      <c r="N298" s="6"/>
      <c r="O298" s="6"/>
      <c r="P298" s="6"/>
    </row>
    <row r="299" spans="2:16" ht="15.75">
      <c r="B299" s="6"/>
      <c r="C299" s="6"/>
      <c r="D299" s="6"/>
      <c r="E299" s="6"/>
      <c r="F299" s="6"/>
      <c r="L299" s="6"/>
      <c r="N299" s="6"/>
      <c r="O299" s="6"/>
      <c r="P299" s="6"/>
    </row>
    <row r="300" spans="2:16" ht="15.75">
      <c r="B300" s="6"/>
      <c r="C300" s="6"/>
      <c r="D300" s="6"/>
      <c r="E300" s="6"/>
      <c r="F300" s="6"/>
      <c r="L300" s="6"/>
      <c r="N300" s="6"/>
      <c r="O300" s="6"/>
      <c r="P300" s="6"/>
    </row>
    <row r="301" spans="2:16" ht="15.75">
      <c r="B301" s="6"/>
      <c r="C301" s="6"/>
      <c r="D301" s="6"/>
      <c r="E301" s="6"/>
      <c r="F301" s="6"/>
      <c r="L301" s="6"/>
      <c r="N301" s="6"/>
      <c r="O301" s="6"/>
      <c r="P301" s="6"/>
    </row>
    <row r="302" spans="2:16" ht="15.75">
      <c r="B302" s="6"/>
      <c r="C302" s="6"/>
      <c r="D302" s="6"/>
      <c r="E302" s="6"/>
      <c r="F302" s="6"/>
      <c r="L302" s="6"/>
      <c r="N302" s="6"/>
      <c r="O302" s="6"/>
      <c r="P302" s="6"/>
    </row>
    <row r="303" spans="2:16" ht="15.75">
      <c r="B303" s="6"/>
      <c r="C303" s="6"/>
      <c r="D303" s="6"/>
      <c r="E303" s="6"/>
      <c r="F303" s="6"/>
      <c r="L303" s="6"/>
      <c r="N303" s="6"/>
      <c r="O303" s="6"/>
      <c r="P303" s="6"/>
    </row>
    <row r="304" spans="2:16" ht="15.75">
      <c r="B304" s="6"/>
      <c r="C304" s="6"/>
      <c r="D304" s="6"/>
      <c r="E304" s="6"/>
      <c r="F304" s="6"/>
      <c r="L304" s="6"/>
      <c r="N304" s="6"/>
      <c r="O304" s="6"/>
      <c r="P304" s="6"/>
    </row>
    <row r="305" spans="2:16" ht="15.75">
      <c r="B305" s="6"/>
      <c r="C305" s="6"/>
      <c r="D305" s="6"/>
      <c r="E305" s="6"/>
      <c r="F305" s="6"/>
      <c r="L305" s="6"/>
      <c r="N305" s="6"/>
      <c r="O305" s="6"/>
      <c r="P305" s="6"/>
    </row>
    <row r="306" spans="2:16" ht="15.75">
      <c r="B306" s="6"/>
      <c r="C306" s="6"/>
      <c r="D306" s="6"/>
      <c r="E306" s="6"/>
      <c r="F306" s="6"/>
      <c r="L306" s="6"/>
      <c r="N306" s="6"/>
      <c r="O306" s="6"/>
      <c r="P306" s="6"/>
    </row>
    <row r="307" spans="2:16" ht="15.75">
      <c r="B307" s="6"/>
      <c r="C307" s="6"/>
      <c r="D307" s="6"/>
      <c r="E307" s="6"/>
      <c r="F307" s="6"/>
      <c r="L307" s="6"/>
      <c r="N307" s="6"/>
      <c r="O307" s="6"/>
      <c r="P307" s="6"/>
    </row>
    <row r="308" spans="2:16" ht="15.75">
      <c r="B308" s="6"/>
      <c r="C308" s="6"/>
      <c r="D308" s="6"/>
      <c r="E308" s="6"/>
      <c r="F308" s="6"/>
      <c r="L308" s="6"/>
      <c r="N308" s="6"/>
      <c r="O308" s="6"/>
      <c r="P308" s="6"/>
    </row>
    <row r="309" spans="2:16" ht="15.75">
      <c r="B309" s="6"/>
      <c r="C309" s="6"/>
      <c r="D309" s="6"/>
      <c r="E309" s="6"/>
      <c r="F309" s="6"/>
      <c r="L309" s="6"/>
      <c r="N309" s="6"/>
      <c r="O309" s="6"/>
      <c r="P309" s="6"/>
    </row>
    <row r="310" spans="2:16" ht="15.75">
      <c r="B310" s="6"/>
      <c r="C310" s="6"/>
      <c r="D310" s="6"/>
      <c r="E310" s="6"/>
      <c r="F310" s="6"/>
      <c r="L310" s="6"/>
      <c r="N310" s="6"/>
      <c r="O310" s="6"/>
      <c r="P310" s="6"/>
    </row>
    <row r="311" spans="2:16" ht="15.75">
      <c r="B311" s="6"/>
      <c r="C311" s="6"/>
      <c r="D311" s="6"/>
      <c r="E311" s="6"/>
      <c r="F311" s="6"/>
      <c r="L311" s="6"/>
      <c r="N311" s="6"/>
      <c r="O311" s="6"/>
      <c r="P311" s="6"/>
    </row>
    <row r="312" spans="2:16" ht="15.75">
      <c r="B312" s="6"/>
      <c r="C312" s="6"/>
      <c r="D312" s="6"/>
      <c r="E312" s="6"/>
      <c r="F312" s="6"/>
      <c r="L312" s="6"/>
      <c r="N312" s="6"/>
      <c r="O312" s="6"/>
      <c r="P312" s="6"/>
    </row>
    <row r="313" spans="2:16" ht="15.75">
      <c r="B313" s="6"/>
      <c r="C313" s="6"/>
      <c r="D313" s="6"/>
      <c r="E313" s="6"/>
      <c r="F313" s="6"/>
      <c r="L313" s="6"/>
      <c r="N313" s="6"/>
      <c r="O313" s="6"/>
      <c r="P313" s="6"/>
    </row>
    <row r="314" spans="2:16" ht="15.75">
      <c r="B314" s="6"/>
      <c r="C314" s="6"/>
      <c r="D314" s="6"/>
      <c r="E314" s="6"/>
      <c r="F314" s="6"/>
      <c r="L314" s="6"/>
      <c r="N314" s="6"/>
      <c r="O314" s="6"/>
      <c r="P314" s="6"/>
    </row>
    <row r="315" spans="2:16" ht="15.75">
      <c r="B315" s="6"/>
      <c r="C315" s="6"/>
      <c r="D315" s="6"/>
      <c r="E315" s="6"/>
      <c r="F315" s="6"/>
      <c r="L315" s="6"/>
      <c r="N315" s="6"/>
      <c r="O315" s="6"/>
      <c r="P315" s="6"/>
    </row>
    <row r="316" spans="2:16" ht="15.75">
      <c r="B316" s="6"/>
      <c r="C316" s="6"/>
      <c r="D316" s="6"/>
      <c r="E316" s="6"/>
      <c r="F316" s="6"/>
      <c r="L316" s="6"/>
      <c r="N316" s="6"/>
      <c r="O316" s="6"/>
      <c r="P316" s="6"/>
    </row>
    <row r="317" spans="2:16" ht="15.75">
      <c r="B317" s="6"/>
      <c r="C317" s="6"/>
      <c r="D317" s="6"/>
      <c r="E317" s="6"/>
      <c r="F317" s="6"/>
      <c r="L317" s="6"/>
      <c r="N317" s="6"/>
      <c r="O317" s="6"/>
      <c r="P317" s="6"/>
    </row>
    <row r="318" spans="2:16" ht="15.75">
      <c r="B318" s="6"/>
      <c r="C318" s="6"/>
      <c r="D318" s="6"/>
      <c r="E318" s="6"/>
      <c r="F318" s="6"/>
      <c r="L318" s="6"/>
      <c r="N318" s="6"/>
      <c r="O318" s="6"/>
      <c r="P318" s="6"/>
    </row>
    <row r="319" spans="2:16" ht="15.75">
      <c r="B319" s="6"/>
      <c r="C319" s="6"/>
      <c r="D319" s="6"/>
      <c r="E319" s="6"/>
      <c r="F319" s="6"/>
      <c r="L319" s="6"/>
      <c r="N319" s="6"/>
      <c r="O319" s="6"/>
      <c r="P319" s="6"/>
    </row>
    <row r="320" spans="2:16" ht="15.75">
      <c r="B320" s="6"/>
      <c r="C320" s="6"/>
      <c r="D320" s="6"/>
      <c r="E320" s="6"/>
      <c r="F320" s="6"/>
      <c r="L320" s="6"/>
      <c r="N320" s="6"/>
      <c r="O320" s="6"/>
      <c r="P320" s="6"/>
    </row>
    <row r="321" spans="2:16" ht="15.75">
      <c r="B321" s="6"/>
      <c r="C321" s="6"/>
      <c r="D321" s="6"/>
      <c r="E321" s="6"/>
      <c r="F321" s="6"/>
      <c r="L321" s="6"/>
      <c r="N321" s="6"/>
      <c r="O321" s="6"/>
      <c r="P321" s="6"/>
    </row>
    <row r="322" spans="2:16" ht="15.75">
      <c r="B322" s="6"/>
      <c r="C322" s="6"/>
      <c r="D322" s="6"/>
      <c r="E322" s="6"/>
      <c r="F322" s="6"/>
      <c r="L322" s="6"/>
      <c r="N322" s="6"/>
      <c r="O322" s="6"/>
      <c r="P322" s="6"/>
    </row>
    <row r="323" spans="2:16" ht="15.75">
      <c r="B323" s="6"/>
      <c r="C323" s="6"/>
      <c r="D323" s="6"/>
      <c r="E323" s="6"/>
      <c r="F323" s="6"/>
      <c r="L323" s="6"/>
      <c r="N323" s="6"/>
      <c r="O323" s="6"/>
      <c r="P323" s="6"/>
    </row>
    <row r="324" spans="2:16" ht="15.75">
      <c r="B324" s="6"/>
      <c r="C324" s="6"/>
      <c r="D324" s="6"/>
      <c r="E324" s="6"/>
      <c r="F324" s="6"/>
      <c r="L324" s="6"/>
      <c r="N324" s="6"/>
      <c r="O324" s="6"/>
      <c r="P324" s="6"/>
    </row>
    <row r="325" spans="2:16" ht="15.75">
      <c r="B325" s="6"/>
      <c r="C325" s="6"/>
      <c r="D325" s="6"/>
      <c r="E325" s="6"/>
      <c r="F325" s="6"/>
      <c r="L325" s="6"/>
      <c r="N325" s="6"/>
      <c r="O325" s="6"/>
      <c r="P325" s="6"/>
    </row>
    <row r="326" spans="2:16" ht="15.75">
      <c r="B326" s="6"/>
      <c r="C326" s="6"/>
      <c r="D326" s="6"/>
      <c r="E326" s="6"/>
      <c r="F326" s="6"/>
      <c r="L326" s="6"/>
      <c r="N326" s="6"/>
      <c r="O326" s="6"/>
      <c r="P326" s="6"/>
    </row>
    <row r="327" spans="2:16" ht="15.75">
      <c r="B327" s="6"/>
      <c r="C327" s="6"/>
      <c r="D327" s="6"/>
      <c r="E327" s="6"/>
      <c r="F327" s="6"/>
      <c r="L327" s="6"/>
      <c r="N327" s="6"/>
      <c r="O327" s="6"/>
      <c r="P327" s="6"/>
    </row>
    <row r="328" spans="2:16" ht="15.75">
      <c r="B328" s="6"/>
      <c r="C328" s="6"/>
      <c r="D328" s="6"/>
      <c r="E328" s="6"/>
      <c r="F328" s="6"/>
      <c r="L328" s="6"/>
      <c r="N328" s="6"/>
      <c r="O328" s="6"/>
      <c r="P328" s="6"/>
    </row>
    <row r="329" spans="2:16" ht="15.75">
      <c r="B329" s="6"/>
      <c r="C329" s="6"/>
      <c r="D329" s="6"/>
      <c r="E329" s="6"/>
      <c r="F329" s="6"/>
      <c r="L329" s="6"/>
      <c r="N329" s="6"/>
      <c r="O329" s="6"/>
      <c r="P329" s="6"/>
    </row>
    <row r="330" spans="2:16" ht="15.75">
      <c r="B330" s="6"/>
      <c r="C330" s="6"/>
      <c r="D330" s="6"/>
      <c r="E330" s="6"/>
      <c r="F330" s="6"/>
      <c r="L330" s="6"/>
      <c r="N330" s="6"/>
      <c r="O330" s="6"/>
      <c r="P330" s="6"/>
    </row>
    <row r="331" spans="2:16" ht="15.75">
      <c r="B331" s="6"/>
      <c r="C331" s="6"/>
      <c r="D331" s="6"/>
      <c r="E331" s="6"/>
      <c r="F331" s="6"/>
      <c r="L331" s="6"/>
      <c r="N331" s="6"/>
      <c r="O331" s="6"/>
      <c r="P331" s="6"/>
    </row>
    <row r="332" spans="2:16" ht="15.75">
      <c r="B332" s="6"/>
      <c r="C332" s="6"/>
      <c r="D332" s="6"/>
      <c r="E332" s="6"/>
      <c r="F332" s="6"/>
      <c r="L332" s="6"/>
      <c r="N332" s="6"/>
      <c r="O332" s="6"/>
      <c r="P332" s="6"/>
    </row>
    <row r="333" spans="2:16" ht="15.75">
      <c r="B333" s="6"/>
      <c r="C333" s="6"/>
      <c r="D333" s="6"/>
      <c r="E333" s="6"/>
      <c r="F333" s="6"/>
      <c r="L333" s="6"/>
      <c r="N333" s="6"/>
      <c r="O333" s="6"/>
      <c r="P333" s="6"/>
    </row>
    <row r="334" spans="2:16" ht="15.75">
      <c r="B334" s="6"/>
      <c r="C334" s="6"/>
      <c r="D334" s="6"/>
      <c r="E334" s="6"/>
      <c r="F334" s="6"/>
      <c r="L334" s="6"/>
      <c r="N334" s="6"/>
      <c r="O334" s="6"/>
      <c r="P334" s="6"/>
    </row>
    <row r="335" spans="2:16" ht="15.75">
      <c r="B335" s="6"/>
      <c r="C335" s="6"/>
      <c r="D335" s="6"/>
      <c r="E335" s="6"/>
      <c r="F335" s="6"/>
      <c r="L335" s="6"/>
      <c r="N335" s="6"/>
      <c r="O335" s="6"/>
      <c r="P335" s="6"/>
    </row>
    <row r="336" spans="2:16" ht="15.75">
      <c r="B336" s="6"/>
      <c r="C336" s="6"/>
      <c r="D336" s="6"/>
      <c r="E336" s="6"/>
      <c r="F336" s="6"/>
      <c r="L336" s="6"/>
      <c r="N336" s="6"/>
      <c r="O336" s="6"/>
      <c r="P336" s="6"/>
    </row>
    <row r="337" spans="2:16" ht="15.75">
      <c r="B337" s="6"/>
      <c r="C337" s="6"/>
      <c r="D337" s="6"/>
      <c r="E337" s="6"/>
      <c r="F337" s="6"/>
      <c r="L337" s="6"/>
      <c r="N337" s="6"/>
      <c r="O337" s="6"/>
      <c r="P337" s="6"/>
    </row>
    <row r="338" spans="2:16" ht="15.75">
      <c r="B338" s="6"/>
      <c r="C338" s="6"/>
      <c r="D338" s="6"/>
      <c r="E338" s="6"/>
      <c r="F338" s="6"/>
      <c r="L338" s="6"/>
      <c r="N338" s="6"/>
      <c r="O338" s="6"/>
      <c r="P338" s="6"/>
    </row>
    <row r="339" spans="2:16" ht="15.75">
      <c r="B339" s="6"/>
      <c r="C339" s="6"/>
      <c r="D339" s="6"/>
      <c r="E339" s="6"/>
      <c r="F339" s="6"/>
      <c r="L339" s="6"/>
      <c r="N339" s="6"/>
      <c r="O339" s="6"/>
      <c r="P339" s="6"/>
    </row>
    <row r="340" spans="2:16" ht="15.75">
      <c r="B340" s="6"/>
      <c r="C340" s="6"/>
      <c r="D340" s="6"/>
      <c r="E340" s="6"/>
      <c r="F340" s="6"/>
      <c r="L340" s="6"/>
      <c r="N340" s="6"/>
      <c r="O340" s="6"/>
      <c r="P340" s="6"/>
    </row>
    <row r="341" spans="2:16" ht="15.75">
      <c r="B341" s="6"/>
      <c r="C341" s="6"/>
      <c r="D341" s="6"/>
      <c r="E341" s="6"/>
      <c r="F341" s="6"/>
      <c r="L341" s="6"/>
      <c r="N341" s="6"/>
      <c r="O341" s="6"/>
      <c r="P341" s="6"/>
    </row>
    <row r="342" spans="2:16" ht="15.75">
      <c r="B342" s="6"/>
      <c r="C342" s="6"/>
      <c r="D342" s="6"/>
      <c r="E342" s="6"/>
      <c r="F342" s="6"/>
      <c r="L342" s="6"/>
      <c r="N342" s="6"/>
      <c r="O342" s="6"/>
      <c r="P342" s="6"/>
    </row>
    <row r="343" spans="2:16" ht="15.75">
      <c r="B343" s="6"/>
      <c r="C343" s="6"/>
      <c r="D343" s="6"/>
      <c r="E343" s="6"/>
      <c r="F343" s="6"/>
      <c r="L343" s="6"/>
      <c r="N343" s="6"/>
      <c r="O343" s="6"/>
      <c r="P343" s="6"/>
    </row>
    <row r="344" spans="2:16" ht="15.75">
      <c r="B344" s="6"/>
      <c r="C344" s="6"/>
      <c r="D344" s="6"/>
      <c r="E344" s="6"/>
      <c r="F344" s="6"/>
      <c r="L344" s="6"/>
      <c r="N344" s="6"/>
      <c r="O344" s="6"/>
      <c r="P344" s="6"/>
    </row>
    <row r="345" spans="2:16" ht="15.75">
      <c r="B345" s="6"/>
      <c r="C345" s="6"/>
      <c r="D345" s="6"/>
      <c r="E345" s="6"/>
      <c r="F345" s="6"/>
      <c r="L345" s="6"/>
      <c r="N345" s="6"/>
      <c r="O345" s="6"/>
      <c r="P345" s="6"/>
    </row>
    <row r="346" spans="2:16" ht="15.75">
      <c r="B346" s="6"/>
      <c r="C346" s="6"/>
      <c r="D346" s="6"/>
      <c r="E346" s="6"/>
      <c r="F346" s="6"/>
      <c r="L346" s="6"/>
      <c r="N346" s="6"/>
      <c r="O346" s="6"/>
      <c r="P346" s="6"/>
    </row>
    <row r="347" spans="2:16" ht="15.75">
      <c r="B347" s="6"/>
      <c r="C347" s="6"/>
      <c r="D347" s="6"/>
      <c r="E347" s="6"/>
      <c r="F347" s="6"/>
      <c r="L347" s="6"/>
      <c r="N347" s="6"/>
      <c r="O347" s="6"/>
      <c r="P347" s="6"/>
    </row>
    <row r="348" spans="2:16" ht="15.75">
      <c r="B348" s="6"/>
      <c r="C348" s="6"/>
      <c r="D348" s="6"/>
      <c r="E348" s="6"/>
      <c r="F348" s="6"/>
      <c r="L348" s="6"/>
      <c r="N348" s="6"/>
      <c r="O348" s="6"/>
      <c r="P348" s="6"/>
    </row>
    <row r="349" spans="2:16" ht="15.75">
      <c r="B349" s="6"/>
      <c r="C349" s="6"/>
      <c r="D349" s="6"/>
      <c r="E349" s="6"/>
      <c r="F349" s="6"/>
      <c r="L349" s="6"/>
      <c r="N349" s="6"/>
      <c r="O349" s="6"/>
      <c r="P349" s="6"/>
    </row>
    <row r="350" spans="2:16" ht="15.75">
      <c r="B350" s="6"/>
      <c r="C350" s="6"/>
      <c r="D350" s="6"/>
      <c r="E350" s="6"/>
      <c r="F350" s="6"/>
      <c r="L350" s="6"/>
      <c r="N350" s="6"/>
      <c r="O350" s="6"/>
      <c r="P350" s="6"/>
    </row>
    <row r="351" spans="2:16" ht="15.75">
      <c r="B351" s="6"/>
      <c r="C351" s="6"/>
      <c r="D351" s="6"/>
      <c r="E351" s="6"/>
      <c r="F351" s="6"/>
      <c r="L351" s="6"/>
      <c r="N351" s="6"/>
      <c r="O351" s="6"/>
      <c r="P351" s="6"/>
    </row>
    <row r="352" spans="2:16" ht="15.75">
      <c r="B352" s="6"/>
      <c r="C352" s="6"/>
      <c r="D352" s="6"/>
      <c r="E352" s="6"/>
      <c r="F352" s="6"/>
      <c r="L352" s="6"/>
      <c r="N352" s="6"/>
      <c r="O352" s="6"/>
      <c r="P352" s="6"/>
    </row>
    <row r="353" spans="2:16" ht="15.75">
      <c r="B353" s="6"/>
      <c r="C353" s="6"/>
      <c r="D353" s="6"/>
      <c r="E353" s="6"/>
      <c r="F353" s="6"/>
      <c r="L353" s="6"/>
      <c r="N353" s="6"/>
      <c r="O353" s="6"/>
      <c r="P353" s="6"/>
    </row>
    <row r="354" spans="2:16" ht="15.75">
      <c r="B354" s="6"/>
      <c r="C354" s="6"/>
      <c r="D354" s="6"/>
      <c r="E354" s="6"/>
      <c r="F354" s="6"/>
      <c r="L354" s="6"/>
      <c r="N354" s="6"/>
      <c r="O354" s="6"/>
      <c r="P354" s="6"/>
    </row>
    <row r="355" spans="2:16" ht="15.75">
      <c r="B355" s="6"/>
      <c r="C355" s="6"/>
      <c r="D355" s="6"/>
      <c r="E355" s="6"/>
      <c r="F355" s="6"/>
      <c r="L355" s="6"/>
      <c r="N355" s="6"/>
      <c r="O355" s="6"/>
      <c r="P355" s="6"/>
    </row>
    <row r="356" spans="2:16" ht="15.75">
      <c r="B356" s="6"/>
      <c r="C356" s="6"/>
      <c r="D356" s="6"/>
      <c r="E356" s="6"/>
      <c r="F356" s="6"/>
      <c r="L356" s="6"/>
      <c r="N356" s="6"/>
      <c r="O356" s="6"/>
      <c r="P356" s="6"/>
    </row>
    <row r="357" spans="2:16" ht="15.75">
      <c r="B357" s="6"/>
      <c r="C357" s="6"/>
      <c r="D357" s="6"/>
      <c r="E357" s="6"/>
      <c r="F357" s="6"/>
      <c r="L357" s="6"/>
      <c r="N357" s="6"/>
      <c r="O357" s="6"/>
      <c r="P357" s="6"/>
    </row>
    <row r="358" spans="2:16" ht="15.75">
      <c r="B358" s="6"/>
      <c r="C358" s="6"/>
      <c r="D358" s="6"/>
      <c r="E358" s="6"/>
      <c r="F358" s="6"/>
      <c r="L358" s="6"/>
      <c r="N358" s="6"/>
      <c r="O358" s="6"/>
      <c r="P358" s="6"/>
    </row>
    <row r="359" spans="2:16" ht="15.75">
      <c r="B359" s="6"/>
      <c r="C359" s="6"/>
      <c r="D359" s="6"/>
      <c r="E359" s="6"/>
      <c r="F359" s="6"/>
      <c r="L359" s="6"/>
      <c r="N359" s="6"/>
      <c r="O359" s="6"/>
      <c r="P359" s="6"/>
    </row>
    <row r="360" spans="7:11" ht="15.75">
      <c r="G360" s="4"/>
      <c r="H360" s="194"/>
      <c r="I360" s="195"/>
      <c r="J360" s="194"/>
      <c r="K360" s="195"/>
    </row>
    <row r="361" spans="7:11" ht="15.75">
      <c r="G361" s="4"/>
      <c r="H361" s="194"/>
      <c r="I361" s="195"/>
      <c r="J361" s="194"/>
      <c r="K361" s="195"/>
    </row>
    <row r="362" spans="7:11" ht="15.75">
      <c r="G362" s="4"/>
      <c r="H362" s="194"/>
      <c r="I362" s="195"/>
      <c r="J362" s="194"/>
      <c r="K362" s="195"/>
    </row>
    <row r="363" spans="7:11" ht="15.75">
      <c r="G363" s="4"/>
      <c r="H363" s="194"/>
      <c r="I363" s="195"/>
      <c r="J363" s="194"/>
      <c r="K363" s="195"/>
    </row>
    <row r="364" spans="7:11" ht="15.75">
      <c r="G364" s="4"/>
      <c r="H364" s="194"/>
      <c r="I364" s="195"/>
      <c r="J364" s="194"/>
      <c r="K364" s="195"/>
    </row>
    <row r="365" spans="7:11" ht="15.75">
      <c r="G365" s="4"/>
      <c r="H365" s="194"/>
      <c r="I365" s="195"/>
      <c r="J365" s="194"/>
      <c r="K365" s="195"/>
    </row>
    <row r="366" spans="7:11" ht="15.75">
      <c r="G366" s="4"/>
      <c r="H366" s="194"/>
      <c r="I366" s="195"/>
      <c r="J366" s="194"/>
      <c r="K366" s="195"/>
    </row>
    <row r="367" spans="7:11" ht="15.75">
      <c r="G367" s="4"/>
      <c r="H367" s="194"/>
      <c r="I367" s="195"/>
      <c r="J367" s="194"/>
      <c r="K367" s="195"/>
    </row>
    <row r="368" spans="7:11" ht="15.75">
      <c r="G368" s="4"/>
      <c r="H368" s="194"/>
      <c r="I368" s="195"/>
      <c r="J368" s="194"/>
      <c r="K368" s="195"/>
    </row>
    <row r="369" spans="7:11" ht="15.75">
      <c r="G369" s="4"/>
      <c r="H369" s="194"/>
      <c r="I369" s="195"/>
      <c r="J369" s="194"/>
      <c r="K369" s="195"/>
    </row>
    <row r="370" spans="7:11" ht="15.75">
      <c r="G370" s="4"/>
      <c r="H370" s="194"/>
      <c r="I370" s="195"/>
      <c r="J370" s="194"/>
      <c r="K370" s="195"/>
    </row>
    <row r="371" spans="7:11" ht="15.75">
      <c r="G371" s="4"/>
      <c r="H371" s="194"/>
      <c r="I371" s="195"/>
      <c r="J371" s="194"/>
      <c r="K371" s="195"/>
    </row>
    <row r="372" spans="7:11" ht="15.75">
      <c r="G372" s="4"/>
      <c r="H372" s="194"/>
      <c r="I372" s="195"/>
      <c r="J372" s="194"/>
      <c r="K372" s="195"/>
    </row>
    <row r="373" spans="7:11" ht="15.75">
      <c r="G373" s="4"/>
      <c r="H373" s="194"/>
      <c r="I373" s="195"/>
      <c r="J373" s="194"/>
      <c r="K373" s="195"/>
    </row>
    <row r="374" spans="7:11" ht="15.75">
      <c r="G374" s="4"/>
      <c r="H374" s="194"/>
      <c r="I374" s="195"/>
      <c r="J374" s="194"/>
      <c r="K374" s="195"/>
    </row>
    <row r="375" spans="7:11" ht="15.75">
      <c r="G375" s="4"/>
      <c r="H375" s="194"/>
      <c r="I375" s="195"/>
      <c r="J375" s="194"/>
      <c r="K375" s="195"/>
    </row>
  </sheetData>
  <sheetProtection selectLockedCells="1" selectUnlockedCells="1"/>
  <mergeCells count="21">
    <mergeCell ref="L12:L13"/>
    <mergeCell ref="F12:F13"/>
    <mergeCell ref="T12:T13"/>
    <mergeCell ref="U12:U13"/>
    <mergeCell ref="AC12:AC13"/>
    <mergeCell ref="AD12:AD13"/>
    <mergeCell ref="AE12:AE13"/>
    <mergeCell ref="H12:H13"/>
    <mergeCell ref="I12:I13"/>
    <mergeCell ref="J12:J13"/>
    <mergeCell ref="K12:K13"/>
    <mergeCell ref="G12:G13"/>
    <mergeCell ref="M12:M13"/>
    <mergeCell ref="E3:M4"/>
    <mergeCell ref="E5:M6"/>
    <mergeCell ref="A9:AE10"/>
    <mergeCell ref="A12:A13"/>
    <mergeCell ref="B12:B13"/>
    <mergeCell ref="C12:C13"/>
    <mergeCell ref="D12:D13"/>
    <mergeCell ref="E12:E13"/>
  </mergeCells>
  <printOptions/>
  <pageMargins left="0.5118055555555555" right="0.5118055555555555" top="0.5513888888888889" bottom="0.5513888888888889" header="0.5118055555555555" footer="0.5118055555555555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2023-03-06T08:07:18Z</cp:lastPrinted>
  <dcterms:created xsi:type="dcterms:W3CDTF">2023-03-06T08:06:28Z</dcterms:created>
  <dcterms:modified xsi:type="dcterms:W3CDTF">2023-04-14T12:49:52Z</dcterms:modified>
  <cp:category/>
  <cp:version/>
  <cp:contentType/>
  <cp:contentStatus/>
</cp:coreProperties>
</file>